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PO - CONTRATO" sheetId="10" r:id="rId1"/>
    <sheet name="TA01 - PO compilada" sheetId="16" r:id="rId2"/>
    <sheet name="TA01- acréscimos" sheetId="20" r:id="rId3"/>
    <sheet name="TA01 - supressões" sheetId="21" r:id="rId4"/>
    <sheet name="TA01 - CRONOGRAMA" sheetId="22" r:id="rId5"/>
    <sheet name="MC - TA01" sheetId="17" r:id="rId6"/>
    <sheet name="Medição 01" sheetId="8" r:id="rId7"/>
    <sheet name="Medição 02" sheetId="19" r:id="rId8"/>
    <sheet name="ELE - QC" sheetId="15" r:id="rId9"/>
    <sheet name="RGE" sheetId="23" r:id="rId10"/>
  </sheets>
  <externalReferences>
    <externalReference r:id="rId11"/>
    <externalReference r:id="rId12"/>
    <externalReference r:id="rId13"/>
    <externalReference r:id="rId14"/>
  </externalReferences>
  <definedNames>
    <definedName name="a" localSheetId="7">SUMIF(OFFSET(#REF!,1,0,#REF!),"S",OFFSET(#REF!,1,0,#REF!))</definedName>
    <definedName name="a" localSheetId="9">SUMIF(OFFSET(#REF!,1,0,#REF!),"S",OFFSET(#REF!,1,0,#REF!))</definedName>
    <definedName name="a" localSheetId="1">SUMIF(OFFSET(#REF!,1,0,#REF!),"S",OFFSET(#REF!,1,0,#REF!))</definedName>
    <definedName name="a" localSheetId="3">SUMIF(OFFSET(#REF!,1,0,#REF!),"S",OFFSET(#REF!,1,0,#REF!))</definedName>
    <definedName name="a" localSheetId="2">SUMIF(OFFSET(#REF!,1,0,#REF!),"S",OFFSET(#REF!,1,0,#REF!))</definedName>
    <definedName name="a">SUMIF(OFFSET(#REF!,1,0,#REF!),"S",OFFSET(#REF!,1,0,#REF!))</definedName>
    <definedName name="_xlnm.Print_Area" localSheetId="6">'Medição 01'!$A$1:$O$161</definedName>
    <definedName name="_xlnm.Print_Area" localSheetId="7">'Medição 02'!$A$1:$O$161</definedName>
    <definedName name="_xlnm.Print_Area" localSheetId="0">'PO - CONTRATO'!$A$1:$I$161</definedName>
    <definedName name="_xlnm.Print_Area" localSheetId="4">'TA01 - CRONOGRAMA'!$B$2:$L$140</definedName>
    <definedName name="_xlnm.Print_Area" localSheetId="1">'TA01 - PO compilada'!$A$1:$I$189</definedName>
    <definedName name="_xlnm.Print_Area" localSheetId="3">'TA01 - supressões'!$A$1:$I$71</definedName>
    <definedName name="_xlnm.Print_Area" localSheetId="2">'TA01- acréscimos'!$A$1:$I$76</definedName>
    <definedName name="_xlnm.Database" localSheetId="6">TEXT(Import.DataBase,"mm-aaaa")</definedName>
    <definedName name="_xlnm.Database" localSheetId="7">TEXT([0]!Import.DataBase,"mm-aaaa")</definedName>
    <definedName name="_xlnm.Database" localSheetId="0">TEXT([0]!Import.DataBase,"mm-aaaa")</definedName>
    <definedName name="_xlnm.Database" localSheetId="4">TEXT(Import.DataBase,"mm-aaaa")</definedName>
    <definedName name="_xlnm.Database" localSheetId="1">TEXT([0]!Import.DataBase,"mm-aaaa")</definedName>
    <definedName name="_xlnm.Database" localSheetId="3">TEXT([0]!Import.DataBase,"mm-aaaa")</definedName>
    <definedName name="_xlnm.Database" localSheetId="2">TEXT([0]!Import.DataBase,"mm-aaaa")</definedName>
    <definedName name="_xlnm.Database">TEXT(Import.DataBase,"mm-aaaa")</definedName>
    <definedName name="Dados.Lista.BDI">[1]DADOS!$T$37:$X$37</definedName>
    <definedName name="EMPRESAS" localSheetId="6">OFFSET([2]COTAÇÕES!#REF!,0,0):OFFSET([2]COTAÇÕES!#REF!,-1,0)</definedName>
    <definedName name="EMPRESAS" localSheetId="7">OFFSET([2]COTAÇÕES!#REF!,0,0):OFFSET([2]COTAÇÕES!#REF!,-1,0)</definedName>
    <definedName name="EMPRESAS" localSheetId="0">OFFSET([2]COTAÇÕES!#REF!,0,0):OFFSET([2]COTAÇÕES!#REF!,-1,0)</definedName>
    <definedName name="EMPRESAS" localSheetId="9">OFFSET(#REF!,0,0):OFFSET(#REF!,-1,0)</definedName>
    <definedName name="EMPRESAS" localSheetId="4">OFFSET([3]COTAÇÕES!#REF!,0,0):OFFSET([3]COTAÇÕES!#REF!,-1,0)</definedName>
    <definedName name="EMPRESAS" localSheetId="1">OFFSET([2]COTAÇÕES!#REF!,0,0):OFFSET([2]COTAÇÕES!#REF!,-1,0)</definedName>
    <definedName name="EMPRESAS" localSheetId="3">OFFSET([2]COTAÇÕES!#REF!,0,0):OFFSET([2]COTAÇÕES!#REF!,-1,0)</definedName>
    <definedName name="EMPRESAS" localSheetId="2">OFFSET([2]COTAÇÕES!#REF!,0,0):OFFSET([2]COTAÇÕES!#REF!,-1,0)</definedName>
    <definedName name="EMPRESAS">OFFSET(#REF!,0,0):OFFSET(#REF!,-1,0)</definedName>
    <definedName name="Import.DataBase">[1]DADOS!$A$38</definedName>
    <definedName name="Import.Município">[1]DADOS!$G$32</definedName>
    <definedName name="INDICES" localSheetId="6">[2]COTAÇÕES!#REF!:OFFSET([2]COTAÇÕES!#REF!,-1,0)</definedName>
    <definedName name="INDICES" localSheetId="7">[2]COTAÇÕES!#REF!:OFFSET([2]COTAÇÕES!#REF!,-1,0)</definedName>
    <definedName name="INDICES" localSheetId="0">[2]COTAÇÕES!#REF!:OFFSET([2]COTAÇÕES!#REF!,-1,0)</definedName>
    <definedName name="INDICES" localSheetId="9">#REF!:OFFSET(#REF!,-1,0)</definedName>
    <definedName name="INDICES" localSheetId="4">[3]COTAÇÕES!#REF!:OFFSET([3]COTAÇÕES!#REF!,-1,0)</definedName>
    <definedName name="INDICES" localSheetId="1">[2]COTAÇÕES!#REF!:OFFSET([2]COTAÇÕES!#REF!,-1,0)</definedName>
    <definedName name="INDICES" localSheetId="3">[2]COTAÇÕES!#REF!:OFFSET([2]COTAÇÕES!#REF!,-1,0)</definedName>
    <definedName name="INDICES" localSheetId="2">[2]COTAÇÕES!#REF!:OFFSET([2]COTAÇÕES!#REF!,-1,0)</definedName>
    <definedName name="INDICES">#REF!:OFFSET(#REF!,-1,0)</definedName>
    <definedName name="NCOMPOSICOES">16</definedName>
    <definedName name="NRELATORIOS">COUNTA([4]Relatórios!$A$1:$A$65536)-2</definedName>
    <definedName name="PO.CustoUnitario" localSheetId="7">ROUND(#REF!,15-13*#REF!)</definedName>
    <definedName name="PO.CustoUnitario" localSheetId="0">ROUND(#REF!,15-13*#REF!)</definedName>
    <definedName name="PO.CustoUnitario" localSheetId="9">ROUND(#REF!,15-13*#REF!)</definedName>
    <definedName name="PO.CustoUnitario" localSheetId="4">ROUND(#REF!,15-13*#REF!)</definedName>
    <definedName name="PO.CustoUnitario" localSheetId="1">ROUND(#REF!,15-13*#REF!)</definedName>
    <definedName name="PO.CustoUnitario" localSheetId="3">ROUND(#REF!,15-13*#REF!)</definedName>
    <definedName name="PO.CustoUnitario" localSheetId="2">ROUND(#REF!,15-13*#REF!)</definedName>
    <definedName name="PO.CustoUnitario">ROUND(#REF!,15-13*#REF!)</definedName>
    <definedName name="PO.PrecoUnitario" localSheetId="7">ROUND(#REF!,15-13*#REF!)</definedName>
    <definedName name="PO.PrecoUnitario" localSheetId="0">ROUND(#REF!,15-13*#REF!)</definedName>
    <definedName name="PO.PrecoUnitario" localSheetId="9">ROUND(#REF!,15-13*#REF!)</definedName>
    <definedName name="PO.PrecoUnitario" localSheetId="4">ROUND(#REF!,15-13*#REF!)</definedName>
    <definedName name="PO.PrecoUnitario" localSheetId="1">ROUND(#REF!,15-13*#REF!)</definedName>
    <definedName name="PO.PrecoUnitario" localSheetId="3">ROUND(#REF!,15-13*#REF!)</definedName>
    <definedName name="PO.PrecoUnitario" localSheetId="2">ROUND(#REF!,15-13*#REF!)</definedName>
    <definedName name="PO.PrecoUnitario">ROUND(#REF!,15-13*#REF!)</definedName>
    <definedName name="PO.Quantidade" localSheetId="7">ROUND(#REF!,15-13*#REF!)</definedName>
    <definedName name="PO.Quantidade" localSheetId="0">ROUND(#REF!,15-13*#REF!)</definedName>
    <definedName name="PO.Quantidade" localSheetId="9">ROUND(#REF!,15-13*#REF!)</definedName>
    <definedName name="PO.Quantidade" localSheetId="4">ROUND(#REF!,15-13*#REF!)</definedName>
    <definedName name="PO.Quantidade" localSheetId="1">ROUND(#REF!,15-13*#REF!)</definedName>
    <definedName name="PO.Quantidade" localSheetId="3">ROUND(#REF!,15-13*#REF!)</definedName>
    <definedName name="PO.Quantidade" localSheetId="2">ROUND(#REF!,15-13*#REF!)</definedName>
    <definedName name="PO.Quantidade">ROUND(#REF!,15-13*#REF!)</definedName>
    <definedName name="Referencia.Descricao" localSheetId="6">IF(ISNUMBER([1]PO!linhaSINAPIxls),INDEX(INDIRECT("'[Referência "&amp;'Medição 01'!_xlnm.Database&amp;".xls]Banco'!$b:$g"),[1]PO!linhaSINAPIxls,3),"")</definedName>
    <definedName name="Referencia.Descricao" localSheetId="7">#N/A</definedName>
    <definedName name="Referencia.Descricao" localSheetId="0">#N/A</definedName>
    <definedName name="Referencia.Descricao" localSheetId="4">IF(ISNUMBER([1]PO!linhaSINAPIxls),INDEX(INDIRECT("'[Referência "&amp;'TA01 - CRONOGRAMA'!_xlnm.Database&amp;".xls]Banco'!$b:$g"),[1]PO!linhaSINAPIxls,3),"")</definedName>
    <definedName name="Referencia.Descricao" localSheetId="1">#N/A</definedName>
    <definedName name="Referencia.Descricao" localSheetId="3">#N/A</definedName>
    <definedName name="Referencia.Descricao" localSheetId="2">#N/A</definedName>
    <definedName name="Referencia.Descricao">IF(ISNUMBER([1]PO!linhaSINAPIxls),INDEX(INDIRECT("'[Referência "&amp;_xlnm.Database&amp;".xls]Banco'!$b:$g"),[1]PO!linhaSINAPIxls,3),"")</definedName>
    <definedName name="Referencia.Unidade" localSheetId="6">IF(ISNUMBER([1]PO!linhaSINAPIxls),INDEX(INDIRECT("'[Referência "&amp;'Medição 01'!_xlnm.Database&amp;".xls]Banco'!$b:$g"),[1]PO!linhaSINAPIxls,4),"")</definedName>
    <definedName name="Referencia.Unidade" localSheetId="7">#N/A</definedName>
    <definedName name="Referencia.Unidade" localSheetId="0">#N/A</definedName>
    <definedName name="Referencia.Unidade" localSheetId="4">IF(ISNUMBER([1]PO!linhaSINAPIxls),INDEX(INDIRECT("'[Referência "&amp;'TA01 - CRONOGRAMA'!_xlnm.Database&amp;".xls]Banco'!$b:$g"),[1]PO!linhaSINAPIxls,4),"")</definedName>
    <definedName name="Referencia.Unidade" localSheetId="1">#N/A</definedName>
    <definedName name="Referencia.Unidade" localSheetId="3">#N/A</definedName>
    <definedName name="Referencia.Unidade" localSheetId="2">#N/A</definedName>
    <definedName name="Referencia.Unidade">IF(ISNUMBER([1]PO!linhaSINAPIxls),INDEX(INDIRECT("'[Referência "&amp;_xlnm.Database&amp;".xls]Banco'!$b:$g"),[1]PO!linhaSINAPIxls,4),"")</definedName>
    <definedName name="RelatoriosFontes" localSheetId="6">OFFSET([4]Relatórios!$A$5,1,0,NRELATORIOS)</definedName>
    <definedName name="RelatoriosFontes" localSheetId="7">OFFSET([4]Relatórios!$A$5,1,0,[0]!NRELATORIOS)</definedName>
    <definedName name="RelatoriosFontes" localSheetId="0">OFFSET([4]Relatórios!$A$5,1,0,[0]!NRELATORIOS)</definedName>
    <definedName name="RelatoriosFontes" localSheetId="4">OFFSET([4]Relatórios!$A$5,1,0,NRELATORIOS)</definedName>
    <definedName name="RelatoriosFontes" localSheetId="1">OFFSET([4]Relatórios!$A$5,1,0,[0]!NRELATORIOS)</definedName>
    <definedName name="RelatoriosFontes" localSheetId="3">OFFSET([4]Relatórios!$A$5,1,0,[0]!NRELATORIOS)</definedName>
    <definedName name="RelatoriosFontes" localSheetId="2">OFFSET([4]Relatórios!$A$5,1,0,[0]!NRELATORIOS)</definedName>
    <definedName name="RelatoriosFontes">OFFSET([4]Relatórios!$A$5,1,0,NRELATORIOS)</definedName>
    <definedName name="SomaAgrup" localSheetId="6">SUMIF(OFFSET(#REF!,1,0,#REF!),"S",OFFSET(#REF!,1,0,#REF!))</definedName>
    <definedName name="SomaAgrup" localSheetId="7">SUMIF(OFFSET(#REF!,1,0,#REF!),"S",OFFSET(#REF!,1,0,#REF!))</definedName>
    <definedName name="SomaAgrup" localSheetId="0">SUMIF(OFFSET(#REF!,1,0,#REF!),"S",OFFSET(#REF!,1,0,#REF!))</definedName>
    <definedName name="SomaAgrup" localSheetId="9">SUMIF(OFFSET(#REF!,1,0,#REF!),"S",OFFSET(#REF!,1,0,#REF!))</definedName>
    <definedName name="SomaAgrup" localSheetId="4">SUMIF(OFFSET(#REF!,1,0,#REF!),"S",OFFSET(#REF!,1,0,#REF!))</definedName>
    <definedName name="SomaAgrup" localSheetId="1">SUMIF(OFFSET(#REF!,1,0,#REF!),"S",OFFSET(#REF!,1,0,#REF!))</definedName>
    <definedName name="SomaAgrup" localSheetId="3">SUMIF(OFFSET(#REF!,1,0,#REF!),"S",OFFSET(#REF!,1,0,#REF!))</definedName>
    <definedName name="SomaAgrup" localSheetId="2">SUMIF(OFFSET(#REF!,1,0,#REF!),"S",OFFSET(#REF!,1,0,#REF!))</definedName>
    <definedName name="SomaAgrup">SUMIF(OFFSET(#REF!,1,0,#REF!),"S",OFFSET(#REF!,1,0,#REF!))</definedName>
    <definedName name="TipoOrçamento">"BASE"</definedName>
    <definedName name="_xlnm.Print_Titles" localSheetId="6">'Medição 01'!$4:$5</definedName>
    <definedName name="_xlnm.Print_Titles" localSheetId="7">'Medição 02'!$4:$5</definedName>
    <definedName name="_xlnm.Print_Titles" localSheetId="0">'PO - CONTRATO'!$4:$5</definedName>
    <definedName name="_xlnm.Print_Titles" localSheetId="1">'TA01 - PO compilada'!$5:$6</definedName>
    <definedName name="_xlnm.Print_Titles" localSheetId="3">'TA01 - supressões'!$5:$6</definedName>
    <definedName name="_xlnm.Print_Titles" localSheetId="2">'TA01- acréscimos'!$5:$6</definedName>
    <definedName name="VTOTAL1" localSheetId="6">ROUND(PO.Quantidade*PO.PrecoUnitario,15-13*#REF!)</definedName>
    <definedName name="VTOTAL1" localSheetId="7">ROUND('Medição 02'!PO.Quantidade*'Medição 02'!PO.PrecoUnitario,15-13*#REF!)</definedName>
    <definedName name="VTOTAL1" localSheetId="0">ROUND('PO - CONTRATO'!PO.Quantidade*'PO - CONTRATO'!PO.PrecoUnitario,15-13*#REF!)</definedName>
    <definedName name="VTOTAL1" localSheetId="9">ROUND(RGE!PO.Quantidade*RGE!PO.PrecoUnitario,15-13*#REF!)</definedName>
    <definedName name="VTOTAL1" localSheetId="4">ROUND('TA01 - CRONOGRAMA'!PO.Quantidade*'TA01 - CRONOGRAMA'!PO.PrecoUnitario,15-13*#REF!)</definedName>
    <definedName name="VTOTAL1" localSheetId="1">ROUND('TA01 - PO compilada'!PO.Quantidade*'TA01 - PO compilada'!PO.PrecoUnitario,15-13*#REF!)</definedName>
    <definedName name="VTOTAL1" localSheetId="3">ROUND('TA01 - supressões'!PO.Quantidade*'TA01 - supressões'!PO.PrecoUnitario,15-13*#REF!)</definedName>
    <definedName name="VTOTAL1" localSheetId="2">ROUND('TA01- acréscimos'!PO.Quantidade*'TA01- acréscimos'!PO.PrecoUnitario,15-13*#REF!)</definedName>
    <definedName name="VTOTAL1">ROUND(PO.Quantidade*PO.PrecoUnitario,15-13*#REF!)</definedName>
  </definedNames>
  <calcPr calcId="124519"/>
</workbook>
</file>

<file path=xl/calcChain.xml><?xml version="1.0" encoding="utf-8"?>
<calcChain xmlns="http://schemas.openxmlformats.org/spreadsheetml/2006/main">
  <c r="N5" i="23"/>
  <c r="P15"/>
  <c r="L5"/>
  <c r="L29"/>
  <c r="L27"/>
  <c r="L25"/>
  <c r="L24"/>
  <c r="L19"/>
  <c r="L17"/>
  <c r="L13"/>
  <c r="L12"/>
  <c r="J32" i="15"/>
  <c r="I41" i="23"/>
  <c r="I47"/>
  <c r="I46"/>
  <c r="I45"/>
  <c r="I44"/>
  <c r="I43"/>
  <c r="I42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8" l="1"/>
  <c r="L8"/>
  <c r="K59" i="22"/>
  <c r="L10"/>
  <c r="L11"/>
  <c r="L12"/>
  <c r="L14"/>
  <c r="L15"/>
  <c r="L16"/>
  <c r="L17"/>
  <c r="L18"/>
  <c r="L19"/>
  <c r="L21"/>
  <c r="L22"/>
  <c r="L24"/>
  <c r="L25"/>
  <c r="L27"/>
  <c r="L28"/>
  <c r="L29"/>
  <c r="L30"/>
  <c r="L31"/>
  <c r="L32"/>
  <c r="L33"/>
  <c r="L34"/>
  <c r="L35"/>
  <c r="L36"/>
  <c r="L37"/>
  <c r="L38"/>
  <c r="L39"/>
  <c r="L40"/>
  <c r="L41"/>
  <c r="L43"/>
  <c r="L44"/>
  <c r="L45"/>
  <c r="L46"/>
  <c r="L47"/>
  <c r="L48"/>
  <c r="L49"/>
  <c r="L50"/>
  <c r="L51"/>
  <c r="L52"/>
  <c r="L53"/>
  <c r="L54"/>
  <c r="L55"/>
  <c r="L56"/>
  <c r="L57"/>
  <c r="L58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K26"/>
  <c r="I26"/>
  <c r="K44"/>
  <c r="K88"/>
  <c r="J20"/>
  <c r="K20"/>
  <c r="I20"/>
  <c r="H20" s="1"/>
  <c r="K131"/>
  <c r="L131" s="1"/>
  <c r="E20"/>
  <c r="L20" s="1"/>
  <c r="G13"/>
  <c r="E13"/>
  <c r="L13" s="1"/>
  <c r="K9"/>
  <c r="I9"/>
  <c r="G9"/>
  <c r="E9"/>
  <c r="L9" s="1"/>
  <c r="G59"/>
  <c r="F59" s="1"/>
  <c r="H59" s="1"/>
  <c r="I59" s="1"/>
  <c r="G42"/>
  <c r="G23"/>
  <c r="G134" l="1"/>
  <c r="E134"/>
  <c r="E135" s="1"/>
  <c r="G135"/>
  <c r="D20"/>
  <c r="L26"/>
  <c r="L59"/>
  <c r="L88"/>
  <c r="I60" i="20"/>
  <c r="I40" i="21"/>
  <c r="H49"/>
  <c r="I49" s="1"/>
  <c r="H47"/>
  <c r="I47" s="1"/>
  <c r="H46"/>
  <c r="I46" s="1"/>
  <c r="H38"/>
  <c r="I38" s="1"/>
  <c r="H34"/>
  <c r="I34" s="1"/>
  <c r="H28"/>
  <c r="I28" s="1"/>
  <c r="H25"/>
  <c r="H18"/>
  <c r="I18" s="1"/>
  <c r="I17" s="1"/>
  <c r="H16"/>
  <c r="I16" s="1"/>
  <c r="H15"/>
  <c r="I15" s="1"/>
  <c r="H10"/>
  <c r="I10" s="1"/>
  <c r="H9"/>
  <c r="I9" s="1"/>
  <c r="I70"/>
  <c r="I69"/>
  <c r="I68"/>
  <c r="I66"/>
  <c r="I65"/>
  <c r="I63"/>
  <c r="I62"/>
  <c r="I61"/>
  <c r="I60"/>
  <c r="I58"/>
  <c r="I57" s="1"/>
  <c r="I55"/>
  <c r="I53" s="1"/>
  <c r="I54"/>
  <c r="I52"/>
  <c r="I51"/>
  <c r="I50"/>
  <c r="I48"/>
  <c r="I43"/>
  <c r="I42" s="1"/>
  <c r="D43"/>
  <c r="I41"/>
  <c r="I39"/>
  <c r="I37"/>
  <c r="I35"/>
  <c r="I33"/>
  <c r="I30"/>
  <c r="I29" s="1"/>
  <c r="I27"/>
  <c r="I26"/>
  <c r="F18"/>
  <c r="C18"/>
  <c r="I12"/>
  <c r="I11" s="1"/>
  <c r="F10"/>
  <c r="H72" i="20"/>
  <c r="I72" s="1"/>
  <c r="I71" s="1"/>
  <c r="H59"/>
  <c r="I59" s="1"/>
  <c r="H58"/>
  <c r="I58" s="1"/>
  <c r="H57"/>
  <c r="I57" s="1"/>
  <c r="H54"/>
  <c r="I54" s="1"/>
  <c r="H53"/>
  <c r="I53" s="1"/>
  <c r="H49"/>
  <c r="I49" s="1"/>
  <c r="H48"/>
  <c r="I48" s="1"/>
  <c r="H47"/>
  <c r="I47" s="1"/>
  <c r="H46"/>
  <c r="I46" s="1"/>
  <c r="H45"/>
  <c r="I45" s="1"/>
  <c r="H42"/>
  <c r="I42" s="1"/>
  <c r="I41" s="1"/>
  <c r="H37"/>
  <c r="I37" s="1"/>
  <c r="I36" s="1"/>
  <c r="H30"/>
  <c r="I30" s="1"/>
  <c r="H28"/>
  <c r="I28" s="1"/>
  <c r="H27"/>
  <c r="I27" s="1"/>
  <c r="H21"/>
  <c r="I21" s="1"/>
  <c r="H16"/>
  <c r="I16" s="1"/>
  <c r="G22"/>
  <c r="F28" i="16"/>
  <c r="I28"/>
  <c r="H26"/>
  <c r="I26" s="1"/>
  <c r="I75" i="20"/>
  <c r="I74"/>
  <c r="H73"/>
  <c r="I73" s="1"/>
  <c r="I70"/>
  <c r="I69"/>
  <c r="I68"/>
  <c r="I67"/>
  <c r="I66"/>
  <c r="I65"/>
  <c r="I64"/>
  <c r="I63"/>
  <c r="I62"/>
  <c r="I61"/>
  <c r="F59"/>
  <c r="F57"/>
  <c r="I51"/>
  <c r="I50"/>
  <c r="I44"/>
  <c r="I39"/>
  <c r="I31"/>
  <c r="F28"/>
  <c r="C28"/>
  <c r="H25"/>
  <c r="G25"/>
  <c r="H24"/>
  <c r="G24"/>
  <c r="H23"/>
  <c r="H22"/>
  <c r="F21"/>
  <c r="C21"/>
  <c r="H18"/>
  <c r="I18" s="1"/>
  <c r="I17" s="1"/>
  <c r="F14"/>
  <c r="I10"/>
  <c r="I9"/>
  <c r="I153" i="16"/>
  <c r="I154"/>
  <c r="I158"/>
  <c r="G41"/>
  <c r="G42"/>
  <c r="I127"/>
  <c r="I126"/>
  <c r="I117"/>
  <c r="G39"/>
  <c r="G40" s="1"/>
  <c r="H58"/>
  <c r="I58" s="1"/>
  <c r="I22"/>
  <c r="G59" i="17"/>
  <c r="H27" i="16"/>
  <c r="H14" i="20" s="1"/>
  <c r="I14" s="1"/>
  <c r="G14" i="17"/>
  <c r="K73" i="19"/>
  <c r="L73" s="1"/>
  <c r="K74"/>
  <c r="L74"/>
  <c r="J86"/>
  <c r="K86" s="1"/>
  <c r="L86" s="1"/>
  <c r="J87"/>
  <c r="K87" s="1"/>
  <c r="L87" s="1"/>
  <c r="K85"/>
  <c r="L85" s="1"/>
  <c r="J85"/>
  <c r="J82"/>
  <c r="K82" s="1"/>
  <c r="L82" s="1"/>
  <c r="J83"/>
  <c r="K83" s="1"/>
  <c r="L83" s="1"/>
  <c r="K81"/>
  <c r="L81" s="1"/>
  <c r="J81"/>
  <c r="K78"/>
  <c r="L78" s="1"/>
  <c r="J78"/>
  <c r="K29"/>
  <c r="L29"/>
  <c r="J36"/>
  <c r="K36" s="1"/>
  <c r="L36" s="1"/>
  <c r="K21"/>
  <c r="L21"/>
  <c r="K23"/>
  <c r="L23"/>
  <c r="K24"/>
  <c r="L24" s="1"/>
  <c r="J23"/>
  <c r="J24"/>
  <c r="J22"/>
  <c r="K22" s="1"/>
  <c r="L22" s="1"/>
  <c r="M161"/>
  <c r="N73"/>
  <c r="O73" s="1"/>
  <c r="N74"/>
  <c r="O74" s="1"/>
  <c r="N29"/>
  <c r="O29" s="1"/>
  <c r="N34"/>
  <c r="O34"/>
  <c r="N20"/>
  <c r="O20" s="1"/>
  <c r="N21"/>
  <c r="O21" s="1"/>
  <c r="N86"/>
  <c r="O86"/>
  <c r="N87"/>
  <c r="O87"/>
  <c r="N85"/>
  <c r="O85" s="1"/>
  <c r="N82"/>
  <c r="O82" s="1"/>
  <c r="N83"/>
  <c r="O83" s="1"/>
  <c r="N81"/>
  <c r="O81" s="1"/>
  <c r="N78"/>
  <c r="O78" s="1"/>
  <c r="N36"/>
  <c r="O36" s="1"/>
  <c r="N23"/>
  <c r="O23" s="1"/>
  <c r="N24"/>
  <c r="O24" s="1"/>
  <c r="O22"/>
  <c r="N22"/>
  <c r="L16"/>
  <c r="K16"/>
  <c r="N14"/>
  <c r="O16"/>
  <c r="N16"/>
  <c r="M16"/>
  <c r="N8"/>
  <c r="O8" s="1"/>
  <c r="N9" s="1"/>
  <c r="I160"/>
  <c r="I159" s="1"/>
  <c r="I158" s="1"/>
  <c r="I157"/>
  <c r="I156"/>
  <c r="I155"/>
  <c r="I154" s="1"/>
  <c r="I153"/>
  <c r="I152"/>
  <c r="I151"/>
  <c r="I150"/>
  <c r="I149"/>
  <c r="I146" s="1"/>
  <c r="I148"/>
  <c r="I147"/>
  <c r="I145"/>
  <c r="I144" s="1"/>
  <c r="I142"/>
  <c r="I141"/>
  <c r="I140"/>
  <c r="I139"/>
  <c r="I138"/>
  <c r="I137" s="1"/>
  <c r="I136"/>
  <c r="I135"/>
  <c r="I134"/>
  <c r="I133"/>
  <c r="I132"/>
  <c r="I131"/>
  <c r="I130"/>
  <c r="I129"/>
  <c r="I128"/>
  <c r="F128"/>
  <c r="I127"/>
  <c r="I126"/>
  <c r="I125"/>
  <c r="I124"/>
  <c r="I123"/>
  <c r="F123"/>
  <c r="I122"/>
  <c r="I121" s="1"/>
  <c r="I120" s="1"/>
  <c r="I119"/>
  <c r="D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 s="1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 s="1"/>
  <c r="I72"/>
  <c r="I71"/>
  <c r="I70"/>
  <c r="I69" s="1"/>
  <c r="I68"/>
  <c r="I67"/>
  <c r="I66"/>
  <c r="I65"/>
  <c r="I64"/>
  <c r="I63"/>
  <c r="I62"/>
  <c r="I61"/>
  <c r="I60"/>
  <c r="I59"/>
  <c r="I58" s="1"/>
  <c r="I56"/>
  <c r="I55"/>
  <c r="I54" s="1"/>
  <c r="I53"/>
  <c r="I52"/>
  <c r="I51" s="1"/>
  <c r="I50"/>
  <c r="I49"/>
  <c r="I48" s="1"/>
  <c r="I47"/>
  <c r="I46"/>
  <c r="I45"/>
  <c r="I44"/>
  <c r="I43" s="1"/>
  <c r="I41"/>
  <c r="I40" s="1"/>
  <c r="F41"/>
  <c r="C41"/>
  <c r="I39"/>
  <c r="I38" s="1"/>
  <c r="I37"/>
  <c r="F37"/>
  <c r="C37"/>
  <c r="I36"/>
  <c r="F36"/>
  <c r="C36"/>
  <c r="I35"/>
  <c r="I34" s="1"/>
  <c r="I33"/>
  <c r="I32"/>
  <c r="I31"/>
  <c r="F31"/>
  <c r="C31"/>
  <c r="I30"/>
  <c r="I28"/>
  <c r="I27" s="1"/>
  <c r="I26"/>
  <c r="I25"/>
  <c r="H25"/>
  <c r="I24"/>
  <c r="F24"/>
  <c r="I23"/>
  <c r="F23"/>
  <c r="I22"/>
  <c r="I21" s="1"/>
  <c r="L19"/>
  <c r="K19"/>
  <c r="J19"/>
  <c r="I19"/>
  <c r="L18"/>
  <c r="K18"/>
  <c r="I18"/>
  <c r="K17"/>
  <c r="L17" s="1"/>
  <c r="I17"/>
  <c r="I16"/>
  <c r="K15"/>
  <c r="L15" s="1"/>
  <c r="I15"/>
  <c r="I14"/>
  <c r="L13"/>
  <c r="K13"/>
  <c r="I13"/>
  <c r="L12"/>
  <c r="K12"/>
  <c r="I12"/>
  <c r="L11"/>
  <c r="K11"/>
  <c r="I11"/>
  <c r="L9"/>
  <c r="K9"/>
  <c r="I9"/>
  <c r="H9"/>
  <c r="L8"/>
  <c r="K8"/>
  <c r="K7" s="1"/>
  <c r="L7" s="1"/>
  <c r="I8"/>
  <c r="H8"/>
  <c r="I7"/>
  <c r="I6"/>
  <c r="J2"/>
  <c r="I170" i="16"/>
  <c r="I161"/>
  <c r="I157"/>
  <c r="I159"/>
  <c r="I160"/>
  <c r="I156"/>
  <c r="I155"/>
  <c r="I152"/>
  <c r="F133" i="17"/>
  <c r="F135"/>
  <c r="F136"/>
  <c r="F138"/>
  <c r="F139"/>
  <c r="F140"/>
  <c r="F142"/>
  <c r="F143"/>
  <c r="F144"/>
  <c r="F145"/>
  <c r="F146"/>
  <c r="F147"/>
  <c r="F148"/>
  <c r="F149"/>
  <c r="F150"/>
  <c r="F151"/>
  <c r="F152"/>
  <c r="F153"/>
  <c r="F154"/>
  <c r="F155"/>
  <c r="F156"/>
  <c r="F132"/>
  <c r="C141"/>
  <c r="F141" s="1"/>
  <c r="C140"/>
  <c r="C137"/>
  <c r="F137" s="1"/>
  <c r="C136"/>
  <c r="C135"/>
  <c r="C134"/>
  <c r="F134" s="1"/>
  <c r="C133"/>
  <c r="I134" i="16"/>
  <c r="D134"/>
  <c r="H51"/>
  <c r="H52" i="15"/>
  <c r="G52"/>
  <c r="H168" i="16"/>
  <c r="I168" s="1"/>
  <c r="I169"/>
  <c r="I36" i="21" l="1"/>
  <c r="I45"/>
  <c r="I32"/>
  <c r="I31" s="1"/>
  <c r="H34" i="20"/>
  <c r="I34" s="1"/>
  <c r="I33" s="1"/>
  <c r="I32" s="1"/>
  <c r="I56"/>
  <c r="I35"/>
  <c r="I43"/>
  <c r="I52"/>
  <c r="I55"/>
  <c r="I25" i="21"/>
  <c r="I24" s="1"/>
  <c r="I23" s="1"/>
  <c r="I8"/>
  <c r="I7" s="1"/>
  <c r="I64"/>
  <c r="I59"/>
  <c r="I67"/>
  <c r="H23" i="16"/>
  <c r="I25" i="20"/>
  <c r="I24"/>
  <c r="I38"/>
  <c r="I22"/>
  <c r="I29"/>
  <c r="I26"/>
  <c r="G23"/>
  <c r="I23" s="1"/>
  <c r="I23" i="16"/>
  <c r="K34" i="19"/>
  <c r="L34" s="1"/>
  <c r="K20"/>
  <c r="L20" s="1"/>
  <c r="K6"/>
  <c r="L6" s="1"/>
  <c r="O14"/>
  <c r="N10"/>
  <c r="O10" s="1"/>
  <c r="N6"/>
  <c r="O6" s="1"/>
  <c r="N7"/>
  <c r="O7" s="1"/>
  <c r="O9"/>
  <c r="I29"/>
  <c r="I42"/>
  <c r="I143"/>
  <c r="I73"/>
  <c r="H161" s="1"/>
  <c r="I20"/>
  <c r="I57"/>
  <c r="I10"/>
  <c r="K14"/>
  <c r="F157" i="17"/>
  <c r="I21" i="16"/>
  <c r="H104"/>
  <c r="I104" s="1"/>
  <c r="I82"/>
  <c r="I80" s="1"/>
  <c r="H76"/>
  <c r="I76" s="1"/>
  <c r="H77"/>
  <c r="I77" s="1"/>
  <c r="H64"/>
  <c r="H63"/>
  <c r="I49"/>
  <c r="E124" i="17"/>
  <c r="E125"/>
  <c r="E126"/>
  <c r="E127"/>
  <c r="C125"/>
  <c r="C124"/>
  <c r="E123"/>
  <c r="F123" s="1"/>
  <c r="C123"/>
  <c r="E122"/>
  <c r="C122"/>
  <c r="C121"/>
  <c r="E121" s="1"/>
  <c r="F121" s="1"/>
  <c r="F128" s="1"/>
  <c r="H45" i="16" s="1"/>
  <c r="I45" s="1"/>
  <c r="G113" i="17"/>
  <c r="H115" s="1"/>
  <c r="H44" i="16" s="1"/>
  <c r="I44" s="1"/>
  <c r="C115" i="17"/>
  <c r="C114"/>
  <c r="C102"/>
  <c r="C101"/>
  <c r="C103" s="1"/>
  <c r="H41" i="16" s="1"/>
  <c r="I41" s="1"/>
  <c r="H39"/>
  <c r="I39" s="1"/>
  <c r="H38"/>
  <c r="I38" s="1"/>
  <c r="C97" i="17"/>
  <c r="H40" i="16" s="1"/>
  <c r="I40" s="1"/>
  <c r="C90" i="17"/>
  <c r="C79"/>
  <c r="H37" i="16"/>
  <c r="I37" s="1"/>
  <c r="B71" i="17"/>
  <c r="E70"/>
  <c r="E68"/>
  <c r="E69"/>
  <c r="E67"/>
  <c r="C60"/>
  <c r="C58"/>
  <c r="C55"/>
  <c r="C54"/>
  <c r="G47"/>
  <c r="E48"/>
  <c r="G48" s="1"/>
  <c r="E46"/>
  <c r="G46" s="1"/>
  <c r="F41"/>
  <c r="F40"/>
  <c r="F37"/>
  <c r="F39"/>
  <c r="F38"/>
  <c r="F36"/>
  <c r="F35"/>
  <c r="F34"/>
  <c r="F33"/>
  <c r="F32"/>
  <c r="F31"/>
  <c r="F30"/>
  <c r="F29"/>
  <c r="F26"/>
  <c r="F27"/>
  <c r="F28"/>
  <c r="F25"/>
  <c r="F24"/>
  <c r="E14"/>
  <c r="I27" i="16" s="1"/>
  <c r="E8" i="17"/>
  <c r="E7"/>
  <c r="K24" i="15"/>
  <c r="L24" s="1"/>
  <c r="J47"/>
  <c r="K47" s="1"/>
  <c r="L47" s="1"/>
  <c r="J24"/>
  <c r="J46"/>
  <c r="J45"/>
  <c r="I188" i="16"/>
  <c r="I187" s="1"/>
  <c r="I185"/>
  <c r="I184"/>
  <c r="I183"/>
  <c r="I181"/>
  <c r="I180"/>
  <c r="I178"/>
  <c r="I177"/>
  <c r="I176"/>
  <c r="I175"/>
  <c r="I173"/>
  <c r="I172" s="1"/>
  <c r="I167"/>
  <c r="I166"/>
  <c r="I165"/>
  <c r="I164"/>
  <c r="I163"/>
  <c r="I151"/>
  <c r="I150"/>
  <c r="I149"/>
  <c r="I148"/>
  <c r="I147"/>
  <c r="I146"/>
  <c r="I145"/>
  <c r="I144"/>
  <c r="I143"/>
  <c r="F143"/>
  <c r="I142"/>
  <c r="I141"/>
  <c r="I140"/>
  <c r="I139"/>
  <c r="I138"/>
  <c r="F138"/>
  <c r="I137"/>
  <c r="I133"/>
  <c r="I132"/>
  <c r="I131"/>
  <c r="I130"/>
  <c r="I129"/>
  <c r="I125"/>
  <c r="I124"/>
  <c r="I123"/>
  <c r="I122"/>
  <c r="I121"/>
  <c r="I120"/>
  <c r="I119"/>
  <c r="I118"/>
  <c r="I116"/>
  <c r="I115"/>
  <c r="I114"/>
  <c r="I113"/>
  <c r="I112"/>
  <c r="I111"/>
  <c r="I110"/>
  <c r="I109"/>
  <c r="I108"/>
  <c r="I107"/>
  <c r="I105"/>
  <c r="I103"/>
  <c r="I102"/>
  <c r="I100"/>
  <c r="I99"/>
  <c r="I98"/>
  <c r="I97"/>
  <c r="I96"/>
  <c r="I95"/>
  <c r="I94"/>
  <c r="I93"/>
  <c r="I92"/>
  <c r="I91"/>
  <c r="I90"/>
  <c r="I89"/>
  <c r="I88"/>
  <c r="I87"/>
  <c r="I84"/>
  <c r="I83" s="1"/>
  <c r="I81"/>
  <c r="I79"/>
  <c r="I78"/>
  <c r="I75"/>
  <c r="I74"/>
  <c r="I73"/>
  <c r="I72"/>
  <c r="I71"/>
  <c r="I70"/>
  <c r="I67"/>
  <c r="I66"/>
  <c r="I61"/>
  <c r="I60"/>
  <c r="I57"/>
  <c r="I56"/>
  <c r="I55"/>
  <c r="I54"/>
  <c r="I51"/>
  <c r="I50" s="1"/>
  <c r="F51"/>
  <c r="C51"/>
  <c r="I48"/>
  <c r="I46"/>
  <c r="F46"/>
  <c r="C46"/>
  <c r="F45"/>
  <c r="C45"/>
  <c r="F36"/>
  <c r="C36"/>
  <c r="I32"/>
  <c r="F27"/>
  <c r="I20"/>
  <c r="I17"/>
  <c r="I16"/>
  <c r="I14"/>
  <c r="I13"/>
  <c r="H10"/>
  <c r="I10" s="1"/>
  <c r="H9"/>
  <c r="I9" s="1"/>
  <c r="R7" i="15"/>
  <c r="R6"/>
  <c r="L7"/>
  <c r="S7" s="1"/>
  <c r="L45"/>
  <c r="S45" s="1"/>
  <c r="L46"/>
  <c r="S46" s="1"/>
  <c r="K45"/>
  <c r="K46"/>
  <c r="K25"/>
  <c r="L25" s="1"/>
  <c r="S25" s="1"/>
  <c r="K6"/>
  <c r="L6" s="1"/>
  <c r="S6" s="1"/>
  <c r="K7"/>
  <c r="J25"/>
  <c r="J7"/>
  <c r="J6"/>
  <c r="J5"/>
  <c r="K5" s="1"/>
  <c r="L5" s="1"/>
  <c r="H11" i="20" l="1"/>
  <c r="I11" s="1"/>
  <c r="I8" s="1"/>
  <c r="I7" s="1"/>
  <c r="I53" i="16"/>
  <c r="I86"/>
  <c r="I85" s="1"/>
  <c r="I128"/>
  <c r="I101"/>
  <c r="I63"/>
  <c r="I62" s="1"/>
  <c r="H21" i="21"/>
  <c r="I21" s="1"/>
  <c r="I136" i="16"/>
  <c r="I162"/>
  <c r="I106"/>
  <c r="I64"/>
  <c r="H22" i="21"/>
  <c r="I22" s="1"/>
  <c r="I14"/>
  <c r="I13" s="1"/>
  <c r="I44"/>
  <c r="I56"/>
  <c r="I40" i="20"/>
  <c r="I47" i="16"/>
  <c r="I19"/>
  <c r="I18" s="1"/>
  <c r="I20" i="20"/>
  <c r="I19" s="1"/>
  <c r="L14" i="19"/>
  <c r="K10"/>
  <c r="I12" i="16"/>
  <c r="I69"/>
  <c r="C62" i="17"/>
  <c r="F109" s="1"/>
  <c r="H42" i="16" s="1"/>
  <c r="I42" s="1"/>
  <c r="I43"/>
  <c r="I174"/>
  <c r="I182"/>
  <c r="I36"/>
  <c r="F42" i="17"/>
  <c r="H30" i="16" s="1"/>
  <c r="I30" s="1"/>
  <c r="G49" i="17"/>
  <c r="H33" i="16" s="1"/>
  <c r="E9" i="17"/>
  <c r="E15"/>
  <c r="Q45" i="15"/>
  <c r="Q6"/>
  <c r="Q25"/>
  <c r="Q7"/>
  <c r="R25"/>
  <c r="S47"/>
  <c r="R47"/>
  <c r="Q47"/>
  <c r="Q46"/>
  <c r="R46"/>
  <c r="R45"/>
  <c r="I179" i="16"/>
  <c r="I65"/>
  <c r="I59"/>
  <c r="I8"/>
  <c r="I7" s="1"/>
  <c r="I15"/>
  <c r="J26" i="15"/>
  <c r="K26" s="1"/>
  <c r="L26" s="1"/>
  <c r="J27"/>
  <c r="K27" s="1"/>
  <c r="L27" s="1"/>
  <c r="J28"/>
  <c r="K28" s="1"/>
  <c r="L28" s="1"/>
  <c r="J29"/>
  <c r="K29" s="1"/>
  <c r="L29" s="1"/>
  <c r="J30"/>
  <c r="K30" s="1"/>
  <c r="L30" s="1"/>
  <c r="J31"/>
  <c r="K31" s="1"/>
  <c r="L31" s="1"/>
  <c r="K32"/>
  <c r="L32" s="1"/>
  <c r="J33"/>
  <c r="K33" s="1"/>
  <c r="L33" s="1"/>
  <c r="J34"/>
  <c r="K34" s="1"/>
  <c r="L34" s="1"/>
  <c r="J35"/>
  <c r="K35" s="1"/>
  <c r="L35" s="1"/>
  <c r="J36"/>
  <c r="K36" s="1"/>
  <c r="L36" s="1"/>
  <c r="J37"/>
  <c r="K37" s="1"/>
  <c r="L37" s="1"/>
  <c r="J39"/>
  <c r="K39" s="1"/>
  <c r="L39" s="1"/>
  <c r="J40"/>
  <c r="K40" s="1"/>
  <c r="L40" s="1"/>
  <c r="J41"/>
  <c r="K41" s="1"/>
  <c r="L41" s="1"/>
  <c r="J42"/>
  <c r="K42" s="1"/>
  <c r="L42" s="1"/>
  <c r="J43"/>
  <c r="K43" s="1"/>
  <c r="L43" s="1"/>
  <c r="J44"/>
  <c r="K44" s="1"/>
  <c r="L44" s="1"/>
  <c r="J48"/>
  <c r="K48" s="1"/>
  <c r="L48" s="1"/>
  <c r="J49"/>
  <c r="K49" s="1"/>
  <c r="L49" s="1"/>
  <c r="Y32"/>
  <c r="Y35"/>
  <c r="Y26"/>
  <c r="J19"/>
  <c r="K19" s="1"/>
  <c r="L19" s="1"/>
  <c r="J20"/>
  <c r="K20" s="1"/>
  <c r="L20" s="1"/>
  <c r="J21"/>
  <c r="K21" s="1"/>
  <c r="L21" s="1"/>
  <c r="J23"/>
  <c r="K23" s="1"/>
  <c r="L23" s="1"/>
  <c r="J18"/>
  <c r="K18" s="1"/>
  <c r="L18" s="1"/>
  <c r="J17"/>
  <c r="K17" s="1"/>
  <c r="L17" s="1"/>
  <c r="J16"/>
  <c r="K16" s="1"/>
  <c r="L16" s="1"/>
  <c r="J15"/>
  <c r="K15" s="1"/>
  <c r="L15" s="1"/>
  <c r="J12"/>
  <c r="K12" s="1"/>
  <c r="L12" s="1"/>
  <c r="J13"/>
  <c r="K13" s="1"/>
  <c r="L13" s="1"/>
  <c r="J14"/>
  <c r="K14" s="1"/>
  <c r="L14" s="1"/>
  <c r="J11"/>
  <c r="K11" s="1"/>
  <c r="L11" s="1"/>
  <c r="J9"/>
  <c r="K9" s="1"/>
  <c r="L9" s="1"/>
  <c r="J10"/>
  <c r="K10" s="1"/>
  <c r="L10" s="1"/>
  <c r="J8"/>
  <c r="K8" s="1"/>
  <c r="L8" s="1"/>
  <c r="I20" i="21" l="1"/>
  <c r="I19" s="1"/>
  <c r="H71" s="1"/>
  <c r="I11" i="16"/>
  <c r="I135"/>
  <c r="I35"/>
  <c r="I68"/>
  <c r="O161" i="19"/>
  <c r="L10"/>
  <c r="J161"/>
  <c r="L161" s="1"/>
  <c r="I171" i="16"/>
  <c r="I52"/>
  <c r="I33"/>
  <c r="I31" s="1"/>
  <c r="E19" i="17"/>
  <c r="H29" i="16" s="1"/>
  <c r="I29" s="1"/>
  <c r="I25" s="1"/>
  <c r="S12" i="15"/>
  <c r="R12"/>
  <c r="Q12"/>
  <c r="R9"/>
  <c r="Q9"/>
  <c r="S9"/>
  <c r="Q16"/>
  <c r="S16"/>
  <c r="R16"/>
  <c r="Q19"/>
  <c r="S19"/>
  <c r="R19"/>
  <c r="S37"/>
  <c r="R37"/>
  <c r="Q37"/>
  <c r="S31"/>
  <c r="R31"/>
  <c r="Q31"/>
  <c r="R10"/>
  <c r="Q10"/>
  <c r="S10"/>
  <c r="Q15"/>
  <c r="R15"/>
  <c r="S15"/>
  <c r="R20"/>
  <c r="Q20"/>
  <c r="S20"/>
  <c r="S48"/>
  <c r="R48"/>
  <c r="Q48"/>
  <c r="S32"/>
  <c r="Q32"/>
  <c r="R32"/>
  <c r="Q8"/>
  <c r="R8"/>
  <c r="S8"/>
  <c r="S21"/>
  <c r="R21"/>
  <c r="Q21"/>
  <c r="Q49"/>
  <c r="R49"/>
  <c r="S49"/>
  <c r="S40"/>
  <c r="Q40"/>
  <c r="R40"/>
  <c r="S33"/>
  <c r="R33"/>
  <c r="Q33"/>
  <c r="S27"/>
  <c r="R27"/>
  <c r="Q27"/>
  <c r="S13"/>
  <c r="Q13"/>
  <c r="R13"/>
  <c r="S23"/>
  <c r="Q23"/>
  <c r="R23"/>
  <c r="S34"/>
  <c r="Q34"/>
  <c r="R34"/>
  <c r="S28"/>
  <c r="Q28"/>
  <c r="R28"/>
  <c r="S14"/>
  <c r="Q14"/>
  <c r="R14"/>
  <c r="S35"/>
  <c r="R35"/>
  <c r="Q35"/>
  <c r="S29"/>
  <c r="R29"/>
  <c r="Q29"/>
  <c r="R11"/>
  <c r="S11"/>
  <c r="Q11"/>
  <c r="S17"/>
  <c r="R17"/>
  <c r="Q17"/>
  <c r="R43"/>
  <c r="Q43"/>
  <c r="S43"/>
  <c r="Q36"/>
  <c r="S36"/>
  <c r="R36"/>
  <c r="Q30"/>
  <c r="S30"/>
  <c r="R30"/>
  <c r="S26"/>
  <c r="R26"/>
  <c r="Q26"/>
  <c r="R18"/>
  <c r="S18"/>
  <c r="Q18"/>
  <c r="S44"/>
  <c r="Q44"/>
  <c r="R44"/>
  <c r="S42"/>
  <c r="R42"/>
  <c r="Q42"/>
  <c r="S41"/>
  <c r="R41"/>
  <c r="Q41"/>
  <c r="Q39"/>
  <c r="S39"/>
  <c r="R39"/>
  <c r="I34" i="16"/>
  <c r="J50" i="15"/>
  <c r="I160" i="10"/>
  <c r="I159" s="1"/>
  <c r="I158" s="1"/>
  <c r="I157"/>
  <c r="I156"/>
  <c r="I155"/>
  <c r="I153"/>
  <c r="I152"/>
  <c r="I150"/>
  <c r="I149"/>
  <c r="I148"/>
  <c r="I147"/>
  <c r="I146" s="1"/>
  <c r="I145"/>
  <c r="I144" s="1"/>
  <c r="I142"/>
  <c r="I141"/>
  <c r="I140"/>
  <c r="I139"/>
  <c r="I138"/>
  <c r="I136"/>
  <c r="I135"/>
  <c r="I134"/>
  <c r="I133"/>
  <c r="I132"/>
  <c r="I131"/>
  <c r="I130"/>
  <c r="I129"/>
  <c r="I128"/>
  <c r="F128"/>
  <c r="I127"/>
  <c r="I126"/>
  <c r="I125"/>
  <c r="I124"/>
  <c r="I123"/>
  <c r="F123"/>
  <c r="I122"/>
  <c r="I119"/>
  <c r="I118" s="1"/>
  <c r="D119"/>
  <c r="I117"/>
  <c r="I116"/>
  <c r="I115"/>
  <c r="I114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3"/>
  <c r="I92"/>
  <c r="I91"/>
  <c r="I90"/>
  <c r="I88"/>
  <c r="I87"/>
  <c r="I86"/>
  <c r="I85"/>
  <c r="I84"/>
  <c r="I83"/>
  <c r="I82"/>
  <c r="I81"/>
  <c r="I80"/>
  <c r="I79"/>
  <c r="I78"/>
  <c r="I77"/>
  <c r="I76"/>
  <c r="I75"/>
  <c r="I72"/>
  <c r="I71" s="1"/>
  <c r="I70"/>
  <c r="I69" s="1"/>
  <c r="I68"/>
  <c r="I67"/>
  <c r="I66"/>
  <c r="I65"/>
  <c r="I64"/>
  <c r="I63"/>
  <c r="I62"/>
  <c r="I61"/>
  <c r="I60"/>
  <c r="I59"/>
  <c r="I56"/>
  <c r="I55"/>
  <c r="I53"/>
  <c r="I52"/>
  <c r="I50"/>
  <c r="I49"/>
  <c r="I47"/>
  <c r="I46"/>
  <c r="I45"/>
  <c r="I44"/>
  <c r="I41"/>
  <c r="I40" s="1"/>
  <c r="F41"/>
  <c r="C41"/>
  <c r="I39"/>
  <c r="I38" s="1"/>
  <c r="I37"/>
  <c r="F37"/>
  <c r="C37"/>
  <c r="I36"/>
  <c r="F36"/>
  <c r="C36"/>
  <c r="I35"/>
  <c r="I34" s="1"/>
  <c r="I33"/>
  <c r="I32"/>
  <c r="I31"/>
  <c r="F31"/>
  <c r="C31"/>
  <c r="I28"/>
  <c r="I27" s="1"/>
  <c r="I26"/>
  <c r="I25"/>
  <c r="H25"/>
  <c r="H15" i="20" s="1"/>
  <c r="I15" s="1"/>
  <c r="I13" s="1"/>
  <c r="I12" s="1"/>
  <c r="H76" s="1"/>
  <c r="I24" i="10"/>
  <c r="F24"/>
  <c r="I23"/>
  <c r="F23"/>
  <c r="I22"/>
  <c r="I19"/>
  <c r="I18" s="1"/>
  <c r="I17" s="1"/>
  <c r="I16"/>
  <c r="I14" s="1"/>
  <c r="I15"/>
  <c r="I13"/>
  <c r="I12"/>
  <c r="I9"/>
  <c r="H9"/>
  <c r="I8"/>
  <c r="I7" s="1"/>
  <c r="I6" s="1"/>
  <c r="H8"/>
  <c r="I42" i="22" l="1"/>
  <c r="L42" s="1"/>
  <c r="F42"/>
  <c r="J42" s="1"/>
  <c r="K42" s="1"/>
  <c r="K134" s="1"/>
  <c r="I151" i="10"/>
  <c r="I11"/>
  <c r="I10" s="1"/>
  <c r="I89"/>
  <c r="I21"/>
  <c r="I20" s="1"/>
  <c r="I30"/>
  <c r="I58"/>
  <c r="I57" s="1"/>
  <c r="I94"/>
  <c r="I113"/>
  <c r="I24" i="16"/>
  <c r="F23" i="22" s="1"/>
  <c r="H23" s="1"/>
  <c r="I23" s="1"/>
  <c r="L27" i="16"/>
  <c r="I74" i="10"/>
  <c r="I43"/>
  <c r="I51"/>
  <c r="I121"/>
  <c r="I120" s="1"/>
  <c r="I137"/>
  <c r="I154"/>
  <c r="I48"/>
  <c r="I54"/>
  <c r="I143"/>
  <c r="I29"/>
  <c r="L23" i="22" l="1"/>
  <c r="L134" s="1"/>
  <c r="I134"/>
  <c r="I73" i="10"/>
  <c r="I42"/>
  <c r="H161" s="1"/>
  <c r="D134" i="22" l="1"/>
  <c r="D135" s="1"/>
  <c r="F134"/>
  <c r="I135"/>
  <c r="K135" s="1"/>
  <c r="H134"/>
  <c r="J134"/>
  <c r="I160" i="8"/>
  <c r="I156"/>
  <c r="I157"/>
  <c r="I155"/>
  <c r="I153"/>
  <c r="I152"/>
  <c r="I148"/>
  <c r="I149"/>
  <c r="I150"/>
  <c r="I147"/>
  <c r="I145"/>
  <c r="I139"/>
  <c r="I140"/>
  <c r="I141"/>
  <c r="I142"/>
  <c r="I138"/>
  <c r="I123"/>
  <c r="I124"/>
  <c r="I125"/>
  <c r="I126"/>
  <c r="I127"/>
  <c r="I128"/>
  <c r="I129"/>
  <c r="I130"/>
  <c r="I131"/>
  <c r="I132"/>
  <c r="I133"/>
  <c r="I134"/>
  <c r="I135"/>
  <c r="I136"/>
  <c r="I122"/>
  <c r="I119"/>
  <c r="I115"/>
  <c r="I116"/>
  <c r="I117"/>
  <c r="I114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95"/>
  <c r="I91"/>
  <c r="I92"/>
  <c r="I93"/>
  <c r="I90"/>
  <c r="I76"/>
  <c r="I77"/>
  <c r="I78"/>
  <c r="I79"/>
  <c r="I80"/>
  <c r="I81"/>
  <c r="I82"/>
  <c r="I83"/>
  <c r="I84"/>
  <c r="I85"/>
  <c r="I86"/>
  <c r="I87"/>
  <c r="I88"/>
  <c r="I75"/>
  <c r="I72"/>
  <c r="I70"/>
  <c r="I61"/>
  <c r="I62"/>
  <c r="I63"/>
  <c r="I64"/>
  <c r="I65"/>
  <c r="I66"/>
  <c r="I67"/>
  <c r="I68"/>
  <c r="I60"/>
  <c r="I59"/>
  <c r="I56"/>
  <c r="I55"/>
  <c r="I53"/>
  <c r="I52"/>
  <c r="I50"/>
  <c r="I49"/>
  <c r="I45"/>
  <c r="I46"/>
  <c r="I47"/>
  <c r="I44"/>
  <c r="I41"/>
  <c r="I39"/>
  <c r="I36"/>
  <c r="I37"/>
  <c r="I35"/>
  <c r="I32"/>
  <c r="I33"/>
  <c r="I31"/>
  <c r="I28"/>
  <c r="I23"/>
  <c r="I24"/>
  <c r="I26"/>
  <c r="I22"/>
  <c r="M19"/>
  <c r="N19" s="1"/>
  <c r="N18" s="1"/>
  <c r="N17" s="1"/>
  <c r="J19"/>
  <c r="K19" s="1"/>
  <c r="K14"/>
  <c r="N15"/>
  <c r="K15"/>
  <c r="N13"/>
  <c r="K13"/>
  <c r="N12"/>
  <c r="K12"/>
  <c r="K9"/>
  <c r="K8"/>
  <c r="N8"/>
  <c r="F128"/>
  <c r="F123"/>
  <c r="D119"/>
  <c r="F41"/>
  <c r="C41"/>
  <c r="F37"/>
  <c r="C37"/>
  <c r="F36"/>
  <c r="C36"/>
  <c r="F31"/>
  <c r="C31"/>
  <c r="H25"/>
  <c r="I25" s="1"/>
  <c r="F24"/>
  <c r="F23"/>
  <c r="H9"/>
  <c r="H8"/>
  <c r="J2"/>
  <c r="F135" i="22" l="1"/>
  <c r="H135" s="1"/>
  <c r="J135" s="1"/>
  <c r="N11" i="8"/>
  <c r="K18"/>
  <c r="L15"/>
  <c r="N14"/>
  <c r="N10" s="1"/>
  <c r="K11"/>
  <c r="K10" s="1"/>
  <c r="K6"/>
  <c r="K7"/>
  <c r="I27"/>
  <c r="I8"/>
  <c r="L8" s="1"/>
  <c r="I15"/>
  <c r="O15" s="1"/>
  <c r="I38"/>
  <c r="I40"/>
  <c r="I71"/>
  <c r="I19"/>
  <c r="I18" s="1"/>
  <c r="I17" s="1"/>
  <c r="I16"/>
  <c r="I48"/>
  <c r="I12"/>
  <c r="I69"/>
  <c r="I144"/>
  <c r="I9"/>
  <c r="L9" s="1"/>
  <c r="I13"/>
  <c r="O13" s="1"/>
  <c r="I118"/>
  <c r="O8" l="1"/>
  <c r="M9" s="1"/>
  <c r="N9" s="1"/>
  <c r="N7" s="1"/>
  <c r="O17"/>
  <c r="N6"/>
  <c r="M161" s="1"/>
  <c r="O9"/>
  <c r="L13"/>
  <c r="I30"/>
  <c r="I159"/>
  <c r="I158" s="1"/>
  <c r="I21"/>
  <c r="I20" s="1"/>
  <c r="O18"/>
  <c r="L19"/>
  <c r="L18"/>
  <c r="K17"/>
  <c r="L17" s="1"/>
  <c r="O19"/>
  <c r="I14"/>
  <c r="L14" s="1"/>
  <c r="I11"/>
  <c r="O12"/>
  <c r="L12"/>
  <c r="I51"/>
  <c r="I7"/>
  <c r="I6" s="1"/>
  <c r="I54"/>
  <c r="I151"/>
  <c r="I43"/>
  <c r="I146"/>
  <c r="I34"/>
  <c r="I154"/>
  <c r="I113"/>
  <c r="I94"/>
  <c r="I58"/>
  <c r="I57" s="1"/>
  <c r="I89"/>
  <c r="I74"/>
  <c r="I137"/>
  <c r="I121"/>
  <c r="I10" l="1"/>
  <c r="L10" s="1"/>
  <c r="O6"/>
  <c r="I29"/>
  <c r="O14"/>
  <c r="J161"/>
  <c r="O10"/>
  <c r="O11"/>
  <c r="L11"/>
  <c r="L6"/>
  <c r="L7"/>
  <c r="O7"/>
  <c r="I42"/>
  <c r="I143"/>
  <c r="I73"/>
  <c r="I120"/>
  <c r="H161" l="1"/>
  <c r="O161" s="1"/>
  <c r="L161" l="1"/>
  <c r="I186" i="16"/>
  <c r="H189" s="1"/>
</calcChain>
</file>

<file path=xl/sharedStrings.xml><?xml version="1.0" encoding="utf-8"?>
<sst xmlns="http://schemas.openxmlformats.org/spreadsheetml/2006/main" count="4606" uniqueCount="671">
  <si>
    <t>SINAPI</t>
  </si>
  <si>
    <t>COTAÇÃO</t>
  </si>
  <si>
    <t>UNIDADE</t>
  </si>
  <si>
    <t>ITEM</t>
  </si>
  <si>
    <t>FONTE</t>
  </si>
  <si>
    <t>CÓDIGO</t>
  </si>
  <si>
    <t>DESCRIÇÃO</t>
  </si>
  <si>
    <t>CUSTO UNITÁRIO (R$)</t>
  </si>
  <si>
    <t>-</t>
  </si>
  <si>
    <t>SINAPI-I</t>
  </si>
  <si>
    <t>H</t>
  </si>
  <si>
    <t>UN</t>
  </si>
  <si>
    <t>ORSE</t>
  </si>
  <si>
    <t>M</t>
  </si>
  <si>
    <t>INSTALAÇÕES PROVISÓRIAS</t>
  </si>
  <si>
    <t>ADMINISTRAÇÃO LOCAL</t>
  </si>
  <si>
    <t>M²</t>
  </si>
  <si>
    <t>EXECUÇÃO DE SANITÁRIO E VESTIÁRIO EM CANTEIRO DE OBRA EM CHAPA DE MADEIRA COMPENSADA</t>
  </si>
  <si>
    <t>EXECUÇÃO DE DEPÓSITO EM CANTEIRO DE OBRA EM CHAPA DE MADEIRA COMPENSADA</t>
  </si>
  <si>
    <t>TAPUME COM TELHA METÁLICA</t>
  </si>
  <si>
    <t>PLACA DE OBRA EM CHAPA DE ACO GALVANIZADO</t>
  </si>
  <si>
    <t>SERVIÇOS PRELIMINARES</t>
  </si>
  <si>
    <t>COMPOSIÇÃO</t>
  </si>
  <si>
    <t>1.1</t>
  </si>
  <si>
    <t>2.1</t>
  </si>
  <si>
    <t>2.2</t>
  </si>
  <si>
    <t>3.1</t>
  </si>
  <si>
    <t>4.1</t>
  </si>
  <si>
    <t>4.2</t>
  </si>
  <si>
    <t>INSTALAÇÃO DE ISOLAMENTO COM LÃ DE ROCHA EM PAREDES DRYWALL</t>
  </si>
  <si>
    <t>INSTALAÇÃO DE REFORÇO METÁLICO EM PAREDE DRYWALL</t>
  </si>
  <si>
    <t>REVESTIMENTOS</t>
  </si>
  <si>
    <t>5.1</t>
  </si>
  <si>
    <t>5.3</t>
  </si>
  <si>
    <t>FORRO</t>
  </si>
  <si>
    <t>FORRO DE GESSO ACARTONADO, INCLUSIVE ESTRUTURA DE FIXAÇÃO</t>
  </si>
  <si>
    <t>PINTURAS</t>
  </si>
  <si>
    <t>6.1</t>
  </si>
  <si>
    <t>CANTEIRO DE OBRAS</t>
  </si>
  <si>
    <t>2.1.1</t>
  </si>
  <si>
    <t>2.1.2</t>
  </si>
  <si>
    <t>6.2</t>
  </si>
  <si>
    <t>6.3</t>
  </si>
  <si>
    <t>APLICAÇÃO MANUAL DE TINTA LÁTEX ACRÍLICA EM PAREDE EXTERNAS, DUAS DEMÃOS</t>
  </si>
  <si>
    <t>APLICAÇÃO E LIXAMENTO DE MASSA LÁTEX EM TETO, UMA DEMÃO</t>
  </si>
  <si>
    <t>6.4</t>
  </si>
  <si>
    <t>APLICAÇÃO MANUAL DE PINTURA COM TINTA LÁTEX ACRÍLICA EM PAREDES, DUAS DEMÃOS</t>
  </si>
  <si>
    <t>APLICAÇÃO MANUAL DE PINTURA COM TINTA LÁTEX ACRÍLICA EM TETO, DUAS DEMÃOS</t>
  </si>
  <si>
    <t>PAREDE COM PLACAS DE GESSO ACARTONADO (DRYWALL), PARA USO INTERNO, COM DUAS FACES SIMPLES</t>
  </si>
  <si>
    <t>PAREDE COM PLACAS DE GESSO ACARTONADO (DRYWALL), COM UMA FACE SIMPLES E UMA FACE RESISTENTE À UMIDADE</t>
  </si>
  <si>
    <t>PAREDES E DIVISÓRIAS INTERNAS</t>
  </si>
  <si>
    <t>PINTURA IMUNIZANTE PARA MADEIRA, DUAS DEMAOS</t>
  </si>
  <si>
    <t>74065/2</t>
  </si>
  <si>
    <t>74209/1</t>
  </si>
  <si>
    <t>PINTURA ESMALTE PARA MADEIRA, DUAS DEMAOS, SOBRE FUNDO NIVELADOR BRANCO</t>
  </si>
  <si>
    <t>74064/1</t>
  </si>
  <si>
    <t>FUNDO ANTICORROSIVO A BASE DE OXIDO DE FERRO (ZARCAO), DUAS DEMAOS</t>
  </si>
  <si>
    <t>73924/2</t>
  </si>
  <si>
    <t>PINTURA ESMALTE, DUAS DEMAOS, SOBRE SUPERFICIE METALICA</t>
  </si>
  <si>
    <t>7.1</t>
  </si>
  <si>
    <t>7.2</t>
  </si>
  <si>
    <t>7.3</t>
  </si>
  <si>
    <t>ABERTURAS E ESQUADRIAS</t>
  </si>
  <si>
    <t>73933/4</t>
  </si>
  <si>
    <t>74136/3</t>
  </si>
  <si>
    <t>PORTA DE AÇO CHAPA 24 DE ENROLAR RAIADA COM ACABENTO GALVANIZADO NATURAL</t>
  </si>
  <si>
    <t>CLIMATIZAÇÃO</t>
  </si>
  <si>
    <t>IMPLANTAÇÃO</t>
  </si>
  <si>
    <t>DRYWALL</t>
  </si>
  <si>
    <t>4.1.1</t>
  </si>
  <si>
    <t>4.1.2</t>
  </si>
  <si>
    <t>4.1.3</t>
  </si>
  <si>
    <t>4.1.4</t>
  </si>
  <si>
    <t>4.1.5</t>
  </si>
  <si>
    <t>PORTAS</t>
  </si>
  <si>
    <t>5.1.1</t>
  </si>
  <si>
    <t>5.1.2</t>
  </si>
  <si>
    <t>5.1.3</t>
  </si>
  <si>
    <t>PISO</t>
  </si>
  <si>
    <t>6.1.1</t>
  </si>
  <si>
    <t>6.1.2</t>
  </si>
  <si>
    <t>6.1.3</t>
  </si>
  <si>
    <t>PAREDES</t>
  </si>
  <si>
    <t>6.2.1</t>
  </si>
  <si>
    <t>6.2.2</t>
  </si>
  <si>
    <t>6.3.1</t>
  </si>
  <si>
    <t>6.4.1</t>
  </si>
  <si>
    <t>EXTERNO</t>
  </si>
  <si>
    <t>7.1.1</t>
  </si>
  <si>
    <t>7.1.2</t>
  </si>
  <si>
    <t>7.1.3</t>
  </si>
  <si>
    <t>7.1.4</t>
  </si>
  <si>
    <t>7.2.1</t>
  </si>
  <si>
    <t>ESQUADRIAS - MADEIRA</t>
  </si>
  <si>
    <t>7.3.1</t>
  </si>
  <si>
    <t>ESQUADRIAS - METAL</t>
  </si>
  <si>
    <t>8.1</t>
  </si>
  <si>
    <t>EQUIPAMENTOS SANITÁRIOS</t>
  </si>
  <si>
    <t>APLICAÇÃO E LIXAMENTO DE MASSA LÁTEX EM PAREDES DE ALVENARIA</t>
  </si>
  <si>
    <t>APLICAÇÃO E LIXAMENTO DE MASSA LÁTEX EM PAREDES DE GESSO</t>
  </si>
  <si>
    <t>10.1</t>
  </si>
  <si>
    <t>9.1</t>
  </si>
  <si>
    <t>8.2</t>
  </si>
  <si>
    <t>8.3</t>
  </si>
  <si>
    <t>8.4</t>
  </si>
  <si>
    <t>8.5</t>
  </si>
  <si>
    <t>ELÉTRICA</t>
  </si>
  <si>
    <t>EQUIPAMENTOS E ACESSÓRIOS</t>
  </si>
  <si>
    <t>8.2.1</t>
  </si>
  <si>
    <t>EQUIPAMENTOS ELÉTRICOS</t>
  </si>
  <si>
    <t>9.2</t>
  </si>
  <si>
    <t>SERVIÇOS FINAIS</t>
  </si>
  <si>
    <t>11.1</t>
  </si>
  <si>
    <t>10.2</t>
  </si>
  <si>
    <t>10.3</t>
  </si>
  <si>
    <t>MOVIMENTAÇÃO DE TERRA</t>
  </si>
  <si>
    <t>CERCAMENTO DO TERRENO</t>
  </si>
  <si>
    <t>10.4</t>
  </si>
  <si>
    <t>10.4.1</t>
  </si>
  <si>
    <t>10.4.2</t>
  </si>
  <si>
    <t>SOLEIRA EM GRANITO 15 CM</t>
  </si>
  <si>
    <t>KIT CAVALETE PARA MEDIÇÃO DE ÁGUA - ENTRADA PRINCIPAL, EM PVC SOLDÁVEL DN 25 (¾")</t>
  </si>
  <si>
    <t>8.1.1</t>
  </si>
  <si>
    <t>HIDRÔMETRO DN 25 (¾ ), 5,0 M³/H</t>
  </si>
  <si>
    <t>8.1.2</t>
  </si>
  <si>
    <t>CAIXA EM CONCRETO PRÉ-MOLDADO PARA ABRIGO DE HIDRÔMETRO</t>
  </si>
  <si>
    <t>8.1.3</t>
  </si>
  <si>
    <t>LAVATÓRIO LOUÇA BRANCA SUSPENSO, 29,5 X 39CM OU EQUIVALENTE INCLUSO SIFÃO FLEXÍVEL EM PVC, VÁLVULA E ENGATE FLEXÍVEL E TORNEIRA CROMADA DE MESA</t>
  </si>
  <si>
    <t>9.1.1</t>
  </si>
  <si>
    <t>9.1.2</t>
  </si>
  <si>
    <t>9.1.3</t>
  </si>
  <si>
    <t>9.1.4</t>
  </si>
  <si>
    <t>9.1.5</t>
  </si>
  <si>
    <t>9.1.6</t>
  </si>
  <si>
    <t>9.1.7</t>
  </si>
  <si>
    <t>PREÇO TOTAL
 (R$)</t>
  </si>
  <si>
    <t>73859/002</t>
  </si>
  <si>
    <t>CAPINA E LIMPEZA MANUAL DE TERRENO</t>
  </si>
  <si>
    <t>PAREDE COM PLACAS DE GESSO ACARTONADO (DRYWALL), COM DUAS FACES RESISTENTE À UMIDADE</t>
  </si>
  <si>
    <t>KIT PORTA DE MADEIRA SEMI-OCA 90X210CM, ESPESSURA 3,5CM</t>
  </si>
  <si>
    <t>KIT PORTA DE MADEIRA SEMI-OCA 80X210CM, ESPESSURA 3,5CM</t>
  </si>
  <si>
    <t>KIT PORTA DE FERRO DE ABRIR TIPO BARRA CHATA</t>
  </si>
  <si>
    <t>INSTALAÇÕES</t>
  </si>
  <si>
    <t>HIDRÁULICA</t>
  </si>
  <si>
    <t>8.1.4</t>
  </si>
  <si>
    <t>ADAPTADOR PVC SOLDAVEL, COM FLANGE E ANEL DE VEDACAO, 25 MM X 3/4", PARA CAIXA UN 7,50
D'AGUA</t>
  </si>
  <si>
    <t>8.1.5</t>
  </si>
  <si>
    <t>CHAVE DE BOIA AUTOMÁTICA</t>
  </si>
  <si>
    <t>8.1.6</t>
  </si>
  <si>
    <t>SERVIÇO DE INSTALAÇÃO DE TUBOS DE PVC, SOLDÁVEL, ÁGUA FRIA, DN 20 MM, INCLUSIVE CONEXÕES, CORTES E FIXAÇÕES (CR)</t>
  </si>
  <si>
    <t>8.1.7</t>
  </si>
  <si>
    <t>SERVIÇO DE INSTALAÇÃO DE TUBOS DE PVC, SOLDÁVEL, ÁGUA FRIA, DN 25 MM, INCLUSIVE CONEXÕES, CORTES E FIXAÇÕES (CR)</t>
  </si>
  <si>
    <t>8.1.8</t>
  </si>
  <si>
    <t>SERVIÇO DE INSTALAÇÃO DE TUBOS DE PVC, SOLDÁVEL, ÁGUA FRIA, DN 40 MM, INCLUSIVE CONEXÕES, CORTES E FIXAÇÕES (CR)</t>
  </si>
  <si>
    <t>8.1.9</t>
  </si>
  <si>
    <t>REGISTRO DE GAVETA BRUTO, LATÃO, ROSCÁVEL, 3/4,  INSTALADO EM RESERVATÓRIO</t>
  </si>
  <si>
    <t>8.1.10</t>
  </si>
  <si>
    <t xml:space="preserve">REGISTRO DE GAVETA BRUTO, LATÃO, ROSCÁVEL, 1/2", COM ACABAMENTO E CANOPLA CROMADOS </t>
  </si>
  <si>
    <t>8.1.11</t>
  </si>
  <si>
    <t xml:space="preserve">REGISTRO DE GAVETA BRUTO, LATÃO, ROSCÁVEL, 3/4", COM ACABAMENTO E CANOPLA CROMADOS </t>
  </si>
  <si>
    <t>8.1.12</t>
  </si>
  <si>
    <t xml:space="preserve">REGISTRO DE PRESSÃO BRUTO, LATÃO, ROSCÁVEL, 1/2", COM ACABAMENTO E CANOPLA CROMADOS </t>
  </si>
  <si>
    <t>8.1.13</t>
  </si>
  <si>
    <t xml:space="preserve">REGISTRO DE PRESSÃO BRUTO, LATÃO, ROSCÁVEL, 3/4", COM ACABAMENTO E CANOPLA CROMADOS </t>
  </si>
  <si>
    <t>8.1.14</t>
  </si>
  <si>
    <t xml:space="preserve">VÁLVULA DE DESCARGA METÁLICA, BASE 1 1/2 ", ACABAMENTO METALICO CROMADO </t>
  </si>
  <si>
    <t>ESGOTO PLUVIAL</t>
  </si>
  <si>
    <t>CALHA EM CHAPA DE AÇO GALVANIZADO NÚMERO 24, DESENVOLVIMENTO DE 50 CM</t>
  </si>
  <si>
    <t>8.2.2</t>
  </si>
  <si>
    <t>CALHA EM CHAPA DE AÇO GALVANIZADO NÚMERO 24, DESENVOLVIMENTO DE 100 CM</t>
  </si>
  <si>
    <t>8.2.3</t>
  </si>
  <si>
    <t>SERVIÇO DE INSTALAÇÃO DE TUBOS DE PVC, SÉRIE R, ÁGUA PLUVIAL, DN 100 MM, INCLUSIVE CONEXÕES, CORTES E FIXAÇÕES (CR)</t>
  </si>
  <si>
    <t>8.2.4</t>
  </si>
  <si>
    <t>CAIXA DE AREIA 40X40X40CM EM ALVENARIA</t>
  </si>
  <si>
    <t>TOMADA DE REDE RJ45</t>
  </si>
  <si>
    <t>CONECTOR FEMEA RJ - 45, CATEGORIA 6</t>
  </si>
  <si>
    <t>PATCH PANEL 24 PORTAS, CATEGORIA 6</t>
  </si>
  <si>
    <t>BANCADA DE AÇO INOXIDÁVEL EM "L" COM DUAS CUBAS E UM EXPURGO HOSPITALAR EM REBAIXO, MEDINDO 380X60CM E ESPELHO DE 10CM, INCLUSIVE TORNEIRAS</t>
  </si>
  <si>
    <t>TANQUE DE LOUÇA BRANCA COM COLUNA, 30L OU EQUIVALENTE</t>
  </si>
  <si>
    <t>TANQUE ACO INOXIDAVEL COM ESFREGADOR E VALVULA, DE 50 X 40 X 22 CM</t>
  </si>
  <si>
    <t>CHUVEIRO ELETRICO COMUM CORPO PLASTICO TIPO DUCHA</t>
  </si>
  <si>
    <t>TORNEIRA ELETRICA DE PAREDE, BICA ALTA, 5500 W (110/220 V)</t>
  </si>
  <si>
    <t>TORNEIRA METAL COM BICO PARA JARDIM 1/2 "</t>
  </si>
  <si>
    <t>BEBEDOURO ELÉTRICO DE PRESSÃO 40 LITROS INOX 220V</t>
  </si>
  <si>
    <t>BARRA DE APOIO RETA, EM ACO INOX POLIDO, COMPRIMENTO 80CM, DIAMETRO MINIMO 3 CM</t>
  </si>
  <si>
    <t>ESCAVACAO MECANICA PARA ACERTO DE TALUDES, EM MATERIAL DE 1A CATEGORIA, COM ESCAVADEIRA HIDRAULICA</t>
  </si>
  <si>
    <t>M³</t>
  </si>
  <si>
    <t>RECOMPOSICAO DE PAVIMENTACAO TIPO BLOKRET SOBRE COLCHAO DE AREIA COM REAPROVEITAMENTO DE MATERIAL</t>
  </si>
  <si>
    <t>EXECUÇÃO DE PASSEIO EM PISO INTERTRAVADO, COM BLOCO RETANGULAR, ESPESSURA 6CM</t>
  </si>
  <si>
    <t>ASSENTAMENTO DE GUIA (MEIO-FIO) EM TRECHO RETO, CONFECCIONADA EM CONCRETO PRÉ-FABRICADO, DIMENSÕES 100X15X13X30 CM (COMPRIMENTO X BASE INFERIOR X BASE SUPERIOR X ALTURA), PARA VIAS URBANAS</t>
  </si>
  <si>
    <t>PISO PODOTATIL DE CONCRETO - DIRECIONAL E ALERTA, 40 X 40 X 2,5 CM</t>
  </si>
  <si>
    <t>EXECUÇÃO DE RAMPA DE CONCRETO COM CONCRETO MOLDADO IN LOCO, FEITO EM OBRA, ACABAMENTO CONVENCIONAL, ESPESSURA 6 CM, ARMADO</t>
  </si>
  <si>
    <t>74195/001</t>
  </si>
  <si>
    <t>GUARDA-CORPO COM CORRIMAO EM FERRO BARRA CHATA 3/16"</t>
  </si>
  <si>
    <t>EXECUÇÃO DE MURETA GUIA PARA CONTENÇÃO, ESPESSURA 30CM</t>
  </si>
  <si>
    <t>LIMPEZA FINAL DA OBRA</t>
  </si>
  <si>
    <t>5.2</t>
  </si>
  <si>
    <t>PORTA EM MADEIRA COMPENSADA 60X160CM, LISA, SEMI-OCA, REVESTIDA C/FÓRMICA, INCLUSIVE BATENTES E FERRAGENS (LIVRE/OCUPADO)</t>
  </si>
  <si>
    <t>PORTA EM MADEIRA COMPENSADA, LISA, SEMI-OCA, 1,20X2,10M, DUAS FOLHAS, COM VISOR, INCLUSIVE BATENTES E FERRAGEM</t>
  </si>
  <si>
    <t>PORTA EM MADEIRA COMPENSADA, LISA, SEMI-OCA, 1.20 X 2.10 M, DUAS FOLHAS, INCLUSIVE BATENTES E FERRAGENS</t>
  </si>
  <si>
    <t>PORTA EM ALUMÍNIO TIPO VENEZIANA, DE ABRIR, COMPLETA</t>
  </si>
  <si>
    <t>TELA DE NYLON TIPO MOSQUITEIRO COM MOLDURA EM ALUMINIO ANODIZADO NATURAL</t>
  </si>
  <si>
    <t>PORTA EM VIDRO TEMPERADO 10MM, INCOLOR, INCLUSIVE FERRAGENS DE FIXAÇÃO, PUXADOR SIMPLES E INSTALAÇÃO</t>
  </si>
  <si>
    <t>VIDRO LAMINADO 6MM INCOLOR</t>
  </si>
  <si>
    <t>JANELA EM MADEIRA DE LEI, TIPO MOLDURA P/ VIDRO, DE ABRIR, C/BATENTES E 2 JOGOS DE ALIZAR</t>
  </si>
  <si>
    <t>TAMPO DE BALCÃO EM GRANITO</t>
  </si>
  <si>
    <t>LAVATÓRIO COM BANCADA EM GRANITO CINZA ANDORINHA, E = 2CM, DIM 1,50X0,60, COM 02 CUBAS DE EMBUTIR DE LOUÇA, SIFÃO CROMADO, VÁLVULA CROMADA, TORNEIRA CROMADA, INCLUSIVE RODOPIA 10 CM, ASSENTADA</t>
  </si>
  <si>
    <t>LAVATÓRIO COM BANCADA, DIM 1.00X0.60, COM 01 CUBA DE LOUÇA DE EMBUTIR, SIFÃO AJUSTAVEL METALIZADO, VÁLVULA CROMADA, TORNEIRA CROMADA, INCLUSIVE RODOPIA 10 CM, ASSENTADA</t>
  </si>
  <si>
    <t>PIA DE COZINHA COM BANCADA EM AÇO INOX, DIM 1,20X0,60M C/ 01 CUBA, VÁLVULA CROMADA, SIFÃO CROMADO E TORNEIRA CROMADA, CONCRETADA E ASSENTADA</t>
  </si>
  <si>
    <t>CABO ELETRÔNICO CATEGORIA 6, INSTALADO EM EDIFICAÇÃO INSTITUCIONAL</t>
  </si>
  <si>
    <t>8.5.1</t>
  </si>
  <si>
    <t>LÓGICA</t>
  </si>
  <si>
    <t>9.1.8</t>
  </si>
  <si>
    <t>9.1.9</t>
  </si>
  <si>
    <t>9.1.10</t>
  </si>
  <si>
    <t>9.1.11</t>
  </si>
  <si>
    <t>9.1.12</t>
  </si>
  <si>
    <t>9.1.13</t>
  </si>
  <si>
    <t>9.1.14</t>
  </si>
  <si>
    <t>PAVIMENTAÇÃO DO PASSEIO PÚBLICO</t>
  </si>
  <si>
    <t xml:space="preserve">PAVIMENTAÇÃO E ACESSO </t>
  </si>
  <si>
    <t>10.3.1</t>
  </si>
  <si>
    <t>10.3.2</t>
  </si>
  <si>
    <t>10.1.1</t>
  </si>
  <si>
    <t>10.2.1</t>
  </si>
  <si>
    <t>10.2.2</t>
  </si>
  <si>
    <t>10.2.3</t>
  </si>
  <si>
    <t>10.2.4</t>
  </si>
  <si>
    <t>10.4.3</t>
  </si>
  <si>
    <t>11.1.1</t>
  </si>
  <si>
    <t>LIMPEZA GERAL</t>
  </si>
  <si>
    <t>ENGENHEIRO CIVIL DE OBRA PLENO COM ENCARGOS COMPLEMENTARES</t>
  </si>
  <si>
    <t>MESTRE DE OBRAS COM ENCARGOS COMPLEMENTARES</t>
  </si>
  <si>
    <t>1.1.1</t>
  </si>
  <si>
    <t>1.1.2</t>
  </si>
  <si>
    <t>ACOMPANHAMENTO DA OBRA</t>
  </si>
  <si>
    <t>2.2.1</t>
  </si>
  <si>
    <t>2.2.2</t>
  </si>
  <si>
    <t>FECHAMENTO E IDENTIFICAÇÃO DA OBRA</t>
  </si>
  <si>
    <t>3.1.1</t>
  </si>
  <si>
    <t>LIMPEZA DO TERRENO</t>
  </si>
  <si>
    <t>4.2.1</t>
  </si>
  <si>
    <t>DIVISÓRIAS INTERNAS</t>
  </si>
  <si>
    <t>PASSADORES</t>
  </si>
  <si>
    <t>VIDROS</t>
  </si>
  <si>
    <t>5.2.1</t>
  </si>
  <si>
    <t>5.3.1</t>
  </si>
  <si>
    <t>VASO SANITÁRIO SIFONADO COM CAIXA ACOPLADA LOUÇA BRANCA - PADRÃO MÉDIO, INCLUSO ENGATE FLEXÍVEL EM METAL CROMADO, 1/2 X 40CM</t>
  </si>
  <si>
    <t>VASO SANITARIO SIFONADO COM CAIXA ACOPLADA PARA PCD SEM FURO FRONTAL COM LOUÇA BRANCA, INCLUSO ENGATE FLEXÍVEL EM METAL CROMADO, 1/2 X 40CM</t>
  </si>
  <si>
    <t>9.1.15</t>
  </si>
  <si>
    <t>EXECUÇÃO DE ESCADA EM CONCRETO ARMADO MOLDADA IN LOCO, FCK = 25 MPA (CR)</t>
  </si>
  <si>
    <t>BATE-MACAS EM PVC, ESPESSURA DE 20CM</t>
  </si>
  <si>
    <t>PLATIBANDA EM TELHA DE ACO ZINCADO TRAPEZOIDAL, COM PINTURA EM UMA FACE</t>
  </si>
  <si>
    <t>9.2.1</t>
  </si>
  <si>
    <t>9.2.2</t>
  </si>
  <si>
    <t>9.2.3</t>
  </si>
  <si>
    <t>9.2.4</t>
  </si>
  <si>
    <t>9.2.5</t>
  </si>
  <si>
    <t>8.3.1</t>
  </si>
  <si>
    <t>8.3.2</t>
  </si>
  <si>
    <t>8.4.1</t>
  </si>
  <si>
    <t>8.4.2</t>
  </si>
  <si>
    <t>8.4.3</t>
  </si>
  <si>
    <t>8.4.4</t>
  </si>
  <si>
    <t>LUMINÁRIA ARANDELA TIPO TARTARUGA PARA 1 LÂMPADA LED</t>
  </si>
  <si>
    <t>LUMINÁRIAS TIPO CALHA, DE SOBREPOR, COM REATORES DE PARTIDA RÁPIDA E LÂMPADAS FLUORESCENTES 2X2X32W, COMPLETAS</t>
  </si>
  <si>
    <t>73953/008</t>
  </si>
  <si>
    <t>LUMINÁRIA TIPO PLAFON, DE SOBREPOR, COM 1 LÂMPADA LED</t>
  </si>
  <si>
    <t>INTERRUPTOR PARALELO (1 MÓDULO), 10A/250V</t>
  </si>
  <si>
    <t>ESTIMATIVA</t>
  </si>
  <si>
    <t>RELE FOTOELETRICO P/ COMANDO DE ILUMINACAO EXTERNA 220V/1000W</t>
  </si>
  <si>
    <t>TORNEIRA CROMADA DE MESA, 1/2" OU 3/4", PARA LAVATÓRIO</t>
  </si>
  <si>
    <t>8.3.3</t>
  </si>
  <si>
    <t>8.3.4</t>
  </si>
  <si>
    <t>8.3.5</t>
  </si>
  <si>
    <t>8.3.6</t>
  </si>
  <si>
    <t>8.3.7</t>
  </si>
  <si>
    <t>8.3.8</t>
  </si>
  <si>
    <t>8.3.9</t>
  </si>
  <si>
    <t>8.3.10</t>
  </si>
  <si>
    <t>PONTO DE ILUMINAÇÃO INCLUINDO INTERRUPTOR</t>
  </si>
  <si>
    <t>PONTO DE UTILIZAÇÃO DE EQUIPAMENTOS ELÉTRICOS</t>
  </si>
  <si>
    <t>PONTO DE TOMADA INCLUINDO TOMADA 10A/250V</t>
  </si>
  <si>
    <t>PONTO DE TOMADA INCLUINDO TOMADA 20A/250V</t>
  </si>
  <si>
    <t>QUADRO DE DISTRIBUICAO DE ENERGIA DE EMBUTIR, EM CHAPA METALICA, PARA 32 DISJUNTORES TERMOMAGNETICOS MONOPOLARES, COM BARRAMENTO TRIFASICO E NEUTRO</t>
  </si>
  <si>
    <t>74131/006</t>
  </si>
  <si>
    <t xml:space="preserve">DISJUNTOR MONOPOLAR TIPO DIN, CORRENTE NOMINAL DE 16A </t>
  </si>
  <si>
    <t xml:space="preserve">DISJUNTOR MONOPOLAR TIPO DIN, CORRENTE NOMINAL DE 20A </t>
  </si>
  <si>
    <t xml:space="preserve">DISJUNTOR MONOPOLAR TIPO DIN, CORRENTE NOMINAL DE 32A </t>
  </si>
  <si>
    <t>CAIXA ENTERRADA ELÉTRICA RETANGULAR, EM ALVENARIA COM TIJOLOS CERÂMICOS MACIÇOS, FUNDO COM BRITA, DIMENSÕES INTERNAS: 0,6X0,6X0,6 M</t>
  </si>
  <si>
    <t>POSTE DE CONCRETO DUPLO T H=9M CARGA NOMINAL 500KG INCLUSIVE ESCAVACAO</t>
  </si>
  <si>
    <t>CABO DE COBRE FLEXÍVEL ISOLADO, 35 MM², ANTI-CHAMA 0,6/1,0 KV</t>
  </si>
  <si>
    <t>CABO DE COBRE FLEXÍVEL ISOLADO, 25 MM², ANTI-CHAMA 0,6/1,0 KV</t>
  </si>
  <si>
    <t>CAIXA DE MEDICAO PARA 1 MEDIDOR TRIFASICO, COM VISOR, EM CHAPA EM ACO 18 USG (PADRAO DA CONCESSIONARIA LOCAL)</t>
  </si>
  <si>
    <t>DISJUNTOR TERMOMAGNETICO TRIPOLAR PADRAO NEMA (AMERICANO) 60 A 100A 240V</t>
  </si>
  <si>
    <t>74130/005</t>
  </si>
  <si>
    <t>CABO DE COBRE FLEXÍVEL ISOLADO, 16 MM², ANTI-CHAMA 0,6/1,0 KV</t>
  </si>
  <si>
    <t>ELETRODUTO RÍGIDO ROSCÁVEL, PVC, DN 40 MM (1 1/4")</t>
  </si>
  <si>
    <t>ELETRODUTO RÍGIDO ROSCÁVEL, PVC, DN 20 MM (1/2")</t>
  </si>
  <si>
    <t>CABO DE COBRE FLEXÍVEL ISOLADO, 10 MM², ANTI-CHAMA 0,6/1,0 KV</t>
  </si>
  <si>
    <t>8.3.11</t>
  </si>
  <si>
    <t>8.3.12</t>
  </si>
  <si>
    <t>8.3.13</t>
  </si>
  <si>
    <t>8.3.14</t>
  </si>
  <si>
    <t>8.3.15</t>
  </si>
  <si>
    <t>8.3.16</t>
  </si>
  <si>
    <t>8.3.17</t>
  </si>
  <si>
    <t>8.3.18</t>
  </si>
  <si>
    <t>RODAPÉ CERÂMICO DE 7CM DE ALTURA COM PLACAS TIPO ESMALTADA EXTRA</t>
  </si>
  <si>
    <t>73774/1</t>
  </si>
  <si>
    <t>DIVISORIA EM MARMORITE ESPESSURA 35MM, CHUMBAMENTO NO PISO E PAREDE COM ARGAMASSA DE CIMENTO E AREIA, POLIMENTO MANUAL</t>
  </si>
  <si>
    <t>5.2.2</t>
  </si>
  <si>
    <t>5.2.3</t>
  </si>
  <si>
    <t>5.4</t>
  </si>
  <si>
    <t>5.4.1</t>
  </si>
  <si>
    <t>7.1.5</t>
  </si>
  <si>
    <t>7.1.6</t>
  </si>
  <si>
    <t>7.1.7</t>
  </si>
  <si>
    <t>7.1.8</t>
  </si>
  <si>
    <t>7.1.9</t>
  </si>
  <si>
    <t>7.1.10</t>
  </si>
  <si>
    <t>6.1.4</t>
  </si>
  <si>
    <t>6.3.2</t>
  </si>
  <si>
    <t>6.4.2</t>
  </si>
  <si>
    <t>REVESTIMENTO CERÂMICO PARA PISO COM PLACAS TIPO PORCELANATO DE DIMENSÕES 45X45 CM, APLICADO COM ARGAMASSA INDUSTRIALIZADA AC-III, REJUNTADO COM EPOXI</t>
  </si>
  <si>
    <t>REVESTIMENTO CERÂMICO PARA PAREDES INTERNAS COM PLACAS TIPO ESMALTADA, EXTRA DE DIMENSÕES 20X20 CM, REJUNTADO COM EPOXI</t>
  </si>
  <si>
    <t>PORTAO DE FERRO EM CHAPA GALVANIZADA PLANA 14 GSG</t>
  </si>
  <si>
    <t>5.1.4</t>
  </si>
  <si>
    <t>RECEPÇÃO</t>
  </si>
  <si>
    <t>EMPREENDIMENTO:</t>
  </si>
  <si>
    <t>LOCALIDADE/ENDEREÇO:</t>
  </si>
  <si>
    <t>RUA MARCO POLO, 875 - GRAVATAÍ/RS</t>
  </si>
  <si>
    <t>DATA BASE:</t>
  </si>
  <si>
    <t>BDI:</t>
  </si>
  <si>
    <t>QUANT.</t>
  </si>
  <si>
    <t>CONTRATO</t>
  </si>
  <si>
    <t>PRODUÇÃO ACUMULADA</t>
  </si>
  <si>
    <t>MEDIÇÃO ATUAL</t>
  </si>
  <si>
    <t>PERCENTUAL</t>
  </si>
  <si>
    <t>MEDIÇÃO:</t>
  </si>
  <si>
    <t>FINALIZAÇÃO DA CONSTRUÇÃO USF SÃO VICENTE</t>
  </si>
  <si>
    <t>CONTRATO:</t>
  </si>
  <si>
    <t>11/2019</t>
  </si>
  <si>
    <t>08/2019</t>
  </si>
  <si>
    <t xml:space="preserve">TOTAL GERAL    </t>
  </si>
  <si>
    <t>01</t>
  </si>
  <si>
    <t>PREÇO UNITÁRIO  (R$)</t>
  </si>
  <si>
    <t xml:space="preserve">CIRCUITO </t>
  </si>
  <si>
    <t>POSIÇÃO</t>
  </si>
  <si>
    <t>FASE</t>
  </si>
  <si>
    <t>TOMADAS (VA)</t>
  </si>
  <si>
    <t>COND (mm²)</t>
  </si>
  <si>
    <t>DISJUNTOR (A)</t>
  </si>
  <si>
    <t>ILUMINAÇÃO LED (W)</t>
  </si>
  <si>
    <t>2x18</t>
  </si>
  <si>
    <t>TUG</t>
  </si>
  <si>
    <t>TUE</t>
  </si>
  <si>
    <t>UTILIZAÇÃO</t>
  </si>
  <si>
    <t>TOTAL (VA)</t>
  </si>
  <si>
    <t>ILUMINAÇÃO FRAÇÃO ESQUERDA</t>
  </si>
  <si>
    <t>ILUMINAÇÃO FRAÇÃO CENTRAL</t>
  </si>
  <si>
    <t>TUG CONSULTÓRIOS 01, 02 E 03, BEBEDOURO E ESPERA</t>
  </si>
  <si>
    <t>TUG CONSULTÓRIOS 04, 05 E 06 E ESPERA</t>
  </si>
  <si>
    <t>TUG RECEPÇÃO E SALA DE INALAÇÃO</t>
  </si>
  <si>
    <t>TUG SALAS DE INALAÇÃO, TRIAGEM E OBSERVAÇÃO E FORRO</t>
  </si>
  <si>
    <t xml:space="preserve">TUG SALAS DE OBSERVAÇÃO E CURATIVOS </t>
  </si>
  <si>
    <t>TUG SALAS DE UTILIDADE E ESTERELIZAÇÃO, DML E CONSULTÓRIO 8</t>
  </si>
  <si>
    <t>TUG COPA E SANITÁRIOS FUNCIONÁRIOS</t>
  </si>
  <si>
    <t>TUG ALMOX, SALA AGENTES E ATIVIDADES</t>
  </si>
  <si>
    <t>TUG CONSULTÓRIOS ODONTO E 07, SALA DE VACINAS</t>
  </si>
  <si>
    <t>TUG SALA DE VACINAS, FRALDÁRIO, BANHEIROS PCD E FORRO</t>
  </si>
  <si>
    <t>TUE ESPERA DUCHA HIGIÊNICA PCD</t>
  </si>
  <si>
    <t>TUE ESPERA DUCHA HIGIÊNICA TANQUE LAVA-PÉS</t>
  </si>
  <si>
    <t>TUE ESPERA CHUVEIRO BANHEIRO FEMININO</t>
  </si>
  <si>
    <t>TUE ESPERA CHUVEIRO BANHEIRO MASCULINO</t>
  </si>
  <si>
    <t>TUE AUTOCLAVE</t>
  </si>
  <si>
    <t>TUE COMPRESSOR 01</t>
  </si>
  <si>
    <t>TUE COMPRESSOR 02</t>
  </si>
  <si>
    <t>TUE CÂMARA FRIA</t>
  </si>
  <si>
    <t>TUE AC COPA</t>
  </si>
  <si>
    <t>TUE ESPERA CADEIRA ODONTO 01</t>
  </si>
  <si>
    <t>TUE ESPERA CADEIRA ODONTO 02</t>
  </si>
  <si>
    <t>ILUMINAÇÃO FRAÇÃO DIREITA</t>
  </si>
  <si>
    <t>TUE MICROONDAS</t>
  </si>
  <si>
    <t>AGRATTO</t>
  </si>
  <si>
    <t>ELGIN</t>
  </si>
  <si>
    <t>TOTAL (W)</t>
  </si>
  <si>
    <t>LEMBRAR TOMADAS 20A P TUE</t>
  </si>
  <si>
    <t>CORRENTE (A)</t>
  </si>
  <si>
    <t>DIVISORIA EM GRANITO CINZA ANDORINHA ESPESSURA 30MM, CHUMBADA, CONFORME PROJETO</t>
  </si>
  <si>
    <r>
      <t>INSTALAÇÃO DE ISOLAMENTO COM LÃ DE</t>
    </r>
    <r>
      <rPr>
        <strike/>
        <sz val="8"/>
        <color rgb="FF000000"/>
        <rFont val="Calibri"/>
        <family val="2"/>
      </rPr>
      <t xml:space="preserve"> ROCHA</t>
    </r>
    <r>
      <rPr>
        <sz val="8"/>
        <color rgb="FFFF0000"/>
        <rFont val="Calibri"/>
        <family val="2"/>
      </rPr>
      <t xml:space="preserve"> PET </t>
    </r>
    <r>
      <rPr>
        <sz val="8"/>
        <color rgb="FF000000"/>
        <rFont val="Calibri"/>
        <family val="2"/>
      </rPr>
      <t>EM PAREDES DRYWALL</t>
    </r>
  </si>
  <si>
    <r>
      <t>INSTALAÇÃO DE REFORÇO</t>
    </r>
    <r>
      <rPr>
        <strike/>
        <sz val="8"/>
        <color rgb="FF000000"/>
        <rFont val="Calibri"/>
        <family val="2"/>
      </rPr>
      <t xml:space="preserve"> METÁLICO </t>
    </r>
    <r>
      <rPr>
        <sz val="8"/>
        <color rgb="FFFF0000"/>
        <rFont val="Calibri"/>
        <family val="2"/>
      </rPr>
      <t xml:space="preserve">DE MADEIRA </t>
    </r>
    <r>
      <rPr>
        <sz val="8"/>
        <color rgb="FF000000"/>
        <rFont val="Calibri"/>
        <family val="2"/>
      </rPr>
      <t>EM PAREDE DRYWALL</t>
    </r>
  </si>
  <si>
    <t>5.1.5</t>
  </si>
  <si>
    <r>
      <t>REVESTIMENTO CERÂMICO PARA PISO COM PLACAS TIPO PORCELANATO DE DIMENSÕES</t>
    </r>
    <r>
      <rPr>
        <strike/>
        <sz val="8"/>
        <color rgb="FF000000"/>
        <rFont val="Calibri"/>
        <family val="2"/>
      </rPr>
      <t xml:space="preserve"> 45X45 CM</t>
    </r>
    <r>
      <rPr>
        <sz val="8"/>
        <color rgb="FF000000"/>
        <rFont val="Calibri"/>
        <family val="2"/>
      </rPr>
      <t xml:space="preserve"> </t>
    </r>
    <r>
      <rPr>
        <sz val="8"/>
        <color rgb="FFFF0000"/>
        <rFont val="Calibri"/>
        <family val="2"/>
      </rPr>
      <t>62,5x62,5CM</t>
    </r>
    <r>
      <rPr>
        <sz val="8"/>
        <color rgb="FF000000"/>
        <rFont val="Calibri"/>
        <family val="2"/>
      </rPr>
      <t>, APLICADO COM ARGAMASSA INDUSTRIALIZADA AC-III, REJUNTADO COM EPOXI</t>
    </r>
  </si>
  <si>
    <r>
      <t>SOLEIRA EM GRANITO</t>
    </r>
    <r>
      <rPr>
        <sz val="8"/>
        <color rgb="FFFF0000"/>
        <rFont val="Calibri"/>
        <family val="2"/>
      </rPr>
      <t xml:space="preserve"> CINZA</t>
    </r>
    <r>
      <rPr>
        <sz val="8"/>
        <color rgb="FF000000"/>
        <rFont val="Calibri"/>
        <family val="2"/>
      </rPr>
      <t xml:space="preserve"> </t>
    </r>
    <r>
      <rPr>
        <sz val="8"/>
        <color rgb="FFFF0000"/>
        <rFont val="Calibri"/>
        <family val="2"/>
      </rPr>
      <t>ANDORINHA</t>
    </r>
    <r>
      <rPr>
        <sz val="8"/>
        <color rgb="FF000000"/>
        <rFont val="Calibri"/>
        <family val="2"/>
      </rPr>
      <t xml:space="preserve"> 15 CM, </t>
    </r>
    <r>
      <rPr>
        <sz val="8"/>
        <color rgb="FFFF0000"/>
        <rFont val="Calibri"/>
        <family val="2"/>
      </rPr>
      <t>ESPESSURA DE 3CM</t>
    </r>
  </si>
  <si>
    <t>5.1.6</t>
  </si>
  <si>
    <t>REVESTIMENTO CERÂMICO PARA PISO ANTIDERRAPANTE  APLICADO COM ARGAMASSA INDUSTRIALIZADA AC-III, REJUNTADO COM EPOXI</t>
  </si>
  <si>
    <r>
      <t xml:space="preserve">REJUNTE EPOXI EM PISO EXISTENTE </t>
    </r>
    <r>
      <rPr>
        <sz val="8"/>
        <color rgb="FFFFC000"/>
        <rFont val="Calibri"/>
        <family val="2"/>
      </rPr>
      <t>45X45CM</t>
    </r>
  </si>
  <si>
    <t>TUE AC ESPERA (CONSULTÓRIOS) - 18 kBTU/h</t>
  </si>
  <si>
    <t>TUE AC ESPERA (ENTRADA) - 18 kBTU/h</t>
  </si>
  <si>
    <t>TUE AC SALA DE VACINAS - 12 kBTU/h</t>
  </si>
  <si>
    <t>TUE AC CONSULTÓRIO 07 - 9kBTU/h</t>
  </si>
  <si>
    <t>TUE AC CONSULTÓRIO ODONTO 02 - 12 kBTU/h</t>
  </si>
  <si>
    <t>TUE AC CONSULTÓRIO ODONTO 01- 12 kBTU/h</t>
  </si>
  <si>
    <t>TUE AC SALA DE ATIVIDADES COLETIVAS - 18 kBTU/h</t>
  </si>
  <si>
    <t>TUE AC SALA AGENTES - 12 kBTU/h</t>
  </si>
  <si>
    <t>TUE AC RECEPÇÃO - 12 kBTU/h</t>
  </si>
  <si>
    <t>TUE AC SALA DE OBSERVAÇÃO  - 18 kBTU/h</t>
  </si>
  <si>
    <t>TUE AC CONSULTÓRIO 08  - 9kBTU/h</t>
  </si>
  <si>
    <t>TUE AC SALA DE CURATIVOS  - 9kBTU/h</t>
  </si>
  <si>
    <t>TUE AC SALA DE TRIAGEM - 9kBTU/h</t>
  </si>
  <si>
    <t>TUE AC SALA DE INALAÇÃO - 9kBTU/h</t>
  </si>
  <si>
    <t>TUE AC CONSULTÓRIO 06 - 9kBTU/h</t>
  </si>
  <si>
    <t>TUE AC CONSULTÓRIO 05 - 9kBTU/h</t>
  </si>
  <si>
    <t>TUE AC CONSULTÓRIO 04 - 9kBTU/h</t>
  </si>
  <si>
    <t>TUE AC CONSULTÓRIO 03 - 9kBTU/h</t>
  </si>
  <si>
    <t>TUE AC CONSULTÓRIO 02 - 9kBTU/h</t>
  </si>
  <si>
    <t>TUE AC CONSULTÓRIO 01 - 9kBTU/h</t>
  </si>
  <si>
    <t>QUADRO DE CARGAS - R02</t>
  </si>
  <si>
    <t>x</t>
  </si>
  <si>
    <t>L (m)</t>
  </si>
  <si>
    <t>H (m)</t>
  </si>
  <si>
    <t>A (m²)</t>
  </si>
  <si>
    <t>=</t>
  </si>
  <si>
    <r>
      <t>INSTALAÇÃO DE ISOLAMENTO COM LÃ DE</t>
    </r>
    <r>
      <rPr>
        <b/>
        <strike/>
        <sz val="8"/>
        <color rgb="FF000000"/>
        <rFont val="Calibri"/>
        <family val="2"/>
      </rPr>
      <t xml:space="preserve"> ROCHA</t>
    </r>
    <r>
      <rPr>
        <b/>
        <sz val="8"/>
        <color rgb="FFFF0000"/>
        <rFont val="Calibri"/>
        <family val="2"/>
      </rPr>
      <t xml:space="preserve"> PET </t>
    </r>
    <r>
      <rPr>
        <b/>
        <sz val="8"/>
        <color rgb="FF000000"/>
        <rFont val="Calibri"/>
        <family val="2"/>
      </rPr>
      <t>EM PAREDES DRYWALL</t>
    </r>
  </si>
  <si>
    <t>Todas as paredes (4.1.1 + 4.2.2)</t>
  </si>
  <si>
    <t>Sanitários</t>
  </si>
  <si>
    <t>Público</t>
  </si>
  <si>
    <t>Lavatório</t>
  </si>
  <si>
    <t>L (cm)</t>
  </si>
  <si>
    <t>Qt (un)</t>
  </si>
  <si>
    <t>L total (m)</t>
  </si>
  <si>
    <t>PCD C3</t>
  </si>
  <si>
    <t>Lavatórios</t>
  </si>
  <si>
    <t>DET</t>
  </si>
  <si>
    <t>PCD Obs</t>
  </si>
  <si>
    <t>barras</t>
  </si>
  <si>
    <t>Func.</t>
  </si>
  <si>
    <t>bancada</t>
  </si>
  <si>
    <t>PCD C7</t>
  </si>
  <si>
    <t>v13</t>
  </si>
  <si>
    <t>v14</t>
  </si>
  <si>
    <r>
      <t>INSTALAÇÃO DE REFORÇO</t>
    </r>
    <r>
      <rPr>
        <strike/>
        <sz val="8"/>
        <color rgb="FF000000"/>
        <rFont val="Calibri"/>
        <family val="2"/>
      </rPr>
      <t xml:space="preserve"> METÁLICO </t>
    </r>
    <r>
      <rPr>
        <sz val="8"/>
        <color rgb="FFFF0000"/>
        <rFont val="Calibri"/>
        <family val="2"/>
      </rPr>
      <t xml:space="preserve">DE MADEIRA </t>
    </r>
    <r>
      <rPr>
        <sz val="8"/>
        <color rgb="FF000000"/>
        <rFont val="Calibri"/>
        <family val="2"/>
      </rPr>
      <t>EM PAREDE DRYWALL</t>
    </r>
    <r>
      <rPr>
        <sz val="8"/>
        <color rgb="FFFF0000"/>
        <rFont val="Calibri"/>
        <family val="2"/>
      </rPr>
      <t xml:space="preserve"> E=20CM</t>
    </r>
  </si>
  <si>
    <t>Consult.</t>
  </si>
  <si>
    <t>(1 a 8)</t>
  </si>
  <si>
    <t>(odonto)</t>
  </si>
  <si>
    <t>Esterelização</t>
  </si>
  <si>
    <t>S3</t>
  </si>
  <si>
    <t>Fraldário</t>
  </si>
  <si>
    <t>VF</t>
  </si>
  <si>
    <t>Tanque LP</t>
  </si>
  <si>
    <t>Pias</t>
  </si>
  <si>
    <t>Triagem</t>
  </si>
  <si>
    <t>Curativo</t>
  </si>
  <si>
    <t>S6</t>
  </si>
  <si>
    <t>S2</t>
  </si>
  <si>
    <t>S4</t>
  </si>
  <si>
    <t>S5</t>
  </si>
  <si>
    <t>Recepção</t>
  </si>
  <si>
    <t>TV</t>
  </si>
  <si>
    <t>AC</t>
  </si>
  <si>
    <t>S ativ</t>
  </si>
  <si>
    <t>Lateral boxe VS</t>
  </si>
  <si>
    <t>Lateral boxe CH</t>
  </si>
  <si>
    <t>Frente</t>
  </si>
  <si>
    <t xml:space="preserve"> - (m)</t>
  </si>
  <si>
    <t>b (m)</t>
  </si>
  <si>
    <t>h (m)</t>
  </si>
  <si>
    <t xml:space="preserve"> - (m²)</t>
  </si>
  <si>
    <t>Sala de atividades</t>
  </si>
  <si>
    <t>Sala de agentes</t>
  </si>
  <si>
    <t>Almox</t>
  </si>
  <si>
    <t>Copa</t>
  </si>
  <si>
    <t xml:space="preserve">Sanitários </t>
  </si>
  <si>
    <t>Abrigo compressor</t>
  </si>
  <si>
    <t>Abrigo resíduos</t>
  </si>
  <si>
    <t>Abrigo GLP</t>
  </si>
  <si>
    <t>ARQUIVO BASE</t>
  </si>
  <si>
    <t>L (m) =</t>
  </si>
  <si>
    <t>L total (m)=</t>
  </si>
  <si>
    <t>Acesso funcionários</t>
  </si>
  <si>
    <t>Boxes</t>
  </si>
  <si>
    <t>2x</t>
  </si>
  <si>
    <t>1x</t>
  </si>
  <si>
    <t>Consultório odonto</t>
  </si>
  <si>
    <t>SOLEIRA EM GRANITO CINZA ANDORINHA 10CM, ESPESSURA DE 2CM</t>
  </si>
  <si>
    <r>
      <t xml:space="preserve">TAMPO DE BALCÃO EM GRANITO </t>
    </r>
    <r>
      <rPr>
        <sz val="8"/>
        <color rgb="FFFF0000"/>
        <rFont val="Calibri"/>
        <family val="2"/>
      </rPr>
      <t>CINZA ANDORINHA, ESPESSURA DE 2CM, COM ESPELHO DE 4 CM</t>
    </r>
  </si>
  <si>
    <t>5.1.7</t>
  </si>
  <si>
    <t>SOLEIRA EM GRANITO CINZA ANDORINHA 20CM, ESPESSURA DE 2CM</t>
  </si>
  <si>
    <r>
      <t>SOLEIRA EM GRANITO CINZA ANDORINHA 10CM, ESPESSURA DE 2</t>
    </r>
    <r>
      <rPr>
        <sz val="8"/>
        <color rgb="FFFF0000"/>
        <rFont val="Calibri"/>
        <family val="2"/>
      </rPr>
      <t>CM</t>
    </r>
  </si>
  <si>
    <t>Acesso principal</t>
  </si>
  <si>
    <r>
      <t>SOLEIRA EM GRANITO CINZA ANDORINHA 20CM, ESPESSURA DE 2</t>
    </r>
    <r>
      <rPr>
        <sz val="8"/>
        <color rgb="FFFF0000"/>
        <rFont val="Calibri"/>
        <family val="2"/>
      </rPr>
      <t>CM</t>
    </r>
  </si>
  <si>
    <t>Boxe Observação</t>
  </si>
  <si>
    <t>Boxes sanit func</t>
  </si>
  <si>
    <t>Área de piso interno total da edificação (m²)</t>
  </si>
  <si>
    <t>Área de piso a executar (m²)</t>
  </si>
  <si>
    <t>Área de piso a receber apenas rejunte (m²)</t>
  </si>
  <si>
    <t>AUX_USF São Vicente</t>
  </si>
  <si>
    <t>REJUNTE EPOXI EM PISO EXISTENTE 60x60CM</t>
  </si>
  <si>
    <r>
      <t xml:space="preserve">TAMPO DE BALCÃO EM GRANITO </t>
    </r>
    <r>
      <rPr>
        <sz val="8"/>
        <color rgb="FFFF0000"/>
        <rFont val="Calibri"/>
        <family val="2"/>
      </rPr>
      <t>CINZA ANDORINHA, ESPESSURA DE 2CM</t>
    </r>
  </si>
  <si>
    <t>Espelho 4 cm</t>
  </si>
  <si>
    <t>Passadores x2</t>
  </si>
  <si>
    <t>Parede inteira</t>
  </si>
  <si>
    <t>A(m²)</t>
  </si>
  <si>
    <t>Isoladas</t>
  </si>
  <si>
    <t>Descontos</t>
  </si>
  <si>
    <t>JANELAS</t>
  </si>
  <si>
    <t>7.2.2</t>
  </si>
  <si>
    <t>INSTALAÇÃO E VEDAÇÃO DE JANELAS DE ALUMÍNIO</t>
  </si>
  <si>
    <t>3.1.2</t>
  </si>
  <si>
    <t>REMOÇÃO DE ENTULHO DA OBRA</t>
  </si>
  <si>
    <t>5.3.2</t>
  </si>
  <si>
    <t xml:space="preserve">DISJUNTOR MONOPOLAR TIPO DIN, CORRENTE NOMINAL DE 25A </t>
  </si>
  <si>
    <t xml:space="preserve">DISJUNTOR MONOPOLAR TIPO DIN, CORRENTE NOMINAL DE 40A </t>
  </si>
  <si>
    <t>8.3.19</t>
  </si>
  <si>
    <t>8.3.20</t>
  </si>
  <si>
    <t>LUMINÁRIAS TIPO CALHA, DE SOBREPOR, COM REATORES DE PARTIDA RÁPIDA E LÂMPADAS FLUORESCENTES 2X32W, COMPLETAS</t>
  </si>
  <si>
    <t>9.2.6</t>
  </si>
  <si>
    <t>9.2.7</t>
  </si>
  <si>
    <t>73953/009</t>
  </si>
  <si>
    <t>LUMINÁRIAS TIPO CALHA, DE SOBREPOR, LED 2X18W, COMPLETAS</t>
  </si>
  <si>
    <t>LUMINÁRIAS TIPO CALHA, DE EMBUTIR, LED 2X18W, COMPLETAS</t>
  </si>
  <si>
    <t>EQUIP</t>
  </si>
  <si>
    <t>ALÇAPÃO 60x60CM EM FORRO DE GESSO ACARTONADO COMPLETO</t>
  </si>
  <si>
    <t>DRENO AR</t>
  </si>
  <si>
    <t>INSTALAÇÃO AR?</t>
  </si>
  <si>
    <t>WIFI 1</t>
  </si>
  <si>
    <t>C1</t>
  </si>
  <si>
    <t>C2</t>
  </si>
  <si>
    <t>C3</t>
  </si>
  <si>
    <t>C4</t>
  </si>
  <si>
    <t>C5</t>
  </si>
  <si>
    <t>C6</t>
  </si>
  <si>
    <t>IMP 1</t>
  </si>
  <si>
    <t>S PROC</t>
  </si>
  <si>
    <t>OBS</t>
  </si>
  <si>
    <t>CURATIVOS</t>
  </si>
  <si>
    <t>IMP 2</t>
  </si>
  <si>
    <t>WIFI 2</t>
  </si>
  <si>
    <t>CABO CAT6</t>
  </si>
  <si>
    <t>C7</t>
  </si>
  <si>
    <t>VACINAS</t>
  </si>
  <si>
    <t>C8</t>
  </si>
  <si>
    <t>ODONTO 1</t>
  </si>
  <si>
    <t>ODONTO 2</t>
  </si>
  <si>
    <t>ATIV (ALTO)</t>
  </si>
  <si>
    <t>ATIV (BAIXO)</t>
  </si>
  <si>
    <t>ATIV MESA</t>
  </si>
  <si>
    <t>ACS</t>
  </si>
  <si>
    <t>JUNTA/FISSURAS</t>
  </si>
  <si>
    <t>BARRAS DE APOIO</t>
  </si>
  <si>
    <t>9.1.16</t>
  </si>
  <si>
    <t>9.1.17</t>
  </si>
  <si>
    <t>9.1.18</t>
  </si>
  <si>
    <t>acessorios que não estão na lista do dab</t>
  </si>
  <si>
    <t>LAVATÓRIO LOUÇA BRANCA SUSPENSO, 29,5 X 39CM OU EQUIVALENTE INCLUSO SIFÃO FLEXÍVEL EM PVC, VÁLVULA E ENGATE FLEXÍVEL</t>
  </si>
  <si>
    <r>
      <t xml:space="preserve">LAVATÓRIO COM BANCADA EM GRANITO CINZA ANDORINHA, E = 2CM, DIM </t>
    </r>
    <r>
      <rPr>
        <sz val="8"/>
        <color rgb="FFFF0000"/>
        <rFont val="Calibri"/>
        <family val="2"/>
      </rPr>
      <t xml:space="preserve">160X50CM </t>
    </r>
    <r>
      <rPr>
        <sz val="8"/>
        <color rgb="FF000000"/>
        <rFont val="Calibri"/>
        <family val="2"/>
      </rPr>
      <t>COM 02 CUBAS DE EMBUTIR DE LOUÇA, SIFÃO CROMADO, VÁLVULA CROMADA</t>
    </r>
    <r>
      <rPr>
        <sz val="8"/>
        <color rgb="FF000000"/>
        <rFont val="Calibri"/>
        <family val="2"/>
      </rPr>
      <t>, INCLUSIVE RODOPIA 10 CM, ASSENTADA</t>
    </r>
  </si>
  <si>
    <t>BANCADA DE AÇO INOXIDÁVEL EM "L" COM DUAS CUBAS E UM EXPURGO HOSPITALAR EM REBAIXO, MEDINDO 380X60CM E ESPELHO DE 10CM</t>
  </si>
  <si>
    <t>LAVATÓRIO LOUÇA BRANCA DE CANTO SUSPENSO, 29,5 X 39CM OU EQUIVALENTE INCLUSO SIFÃO, VÁLVULA E ENGATE FLEXÍVEL CROMADOS</t>
  </si>
  <si>
    <t>9.1.19</t>
  </si>
  <si>
    <t>9.1.20</t>
  </si>
  <si>
    <t>9.1.21</t>
  </si>
  <si>
    <t>9.1.22</t>
  </si>
  <si>
    <t>9.1.23</t>
  </si>
  <si>
    <t>DUCHA HIGIÊNICA ELÉTRICA 3 TEMPERATURAS 4000W</t>
  </si>
  <si>
    <t>DUCHA ELÉTRICA 4 TEMPERATURAS COM BRAÇO ACESSÍVEL (APROX 70 CM) PARA REGULAGEM DE TEMPERATURA</t>
  </si>
  <si>
    <t>TORNEIRA DE SERVIÇO DE PAREDE  COM VOLANTE EM ALAVANCA PARA ACIONAMENTO COM COTOVELO, E AREJADOR EM METAL CROMADO</t>
  </si>
  <si>
    <t xml:space="preserve">COLUNA SUSPENSA EM LOUÇA BRANCA PARA LAVATÓRIO </t>
  </si>
  <si>
    <t>TORNEIRA CLÍNICA BICA ALTA  COM VOLANTE EM ALAVANCA PARA ACIONAMENTO COM COTOVELO, COM AREJADOR  E BICA GIRATÓRIA COM ROTAÇÃO DE 360° EM METAL CROMADO</t>
  </si>
  <si>
    <t>TORNEIRA PARA LAVATÓRIO DE FECHAMENTO AUTOMÁTICO TEMPORIZADOR (APROX. 6s) DE PRESSÃO COM ACIONAMENTO HIDROMECÂNICO EM METAL CROMADO COM AREJADOR</t>
  </si>
  <si>
    <t>9.1.24</t>
  </si>
  <si>
    <t>TORNEIRA ADAPTADA COM ALAVANCA ACESSÍVEL PARA LAVATÓRIO. FECHAMENTO AUTOMÁTICO TEMPORIZADOR (APROX. 6s) DE PRESSÃO COM ACIONAMENTO HIDROMECÂNICO EM METAL CROMADO COM AREJADOR</t>
  </si>
  <si>
    <t>9.1.25</t>
  </si>
  <si>
    <t>ASSENTO SANITÁRIO EM POLIPROPILENO "SOFT CLOSE"</t>
  </si>
  <si>
    <t>DESLOCAR PORTA CAIXA DAGUA</t>
  </si>
  <si>
    <t>REFAZER CUMEEURAS</t>
  </si>
  <si>
    <t>KIT COMPLETO RENOVADOR DE AR PARA BANHEIRO 80 m³/h - INCLUSIVE INSTALAÇÃO</t>
  </si>
  <si>
    <t>9.2.8</t>
  </si>
  <si>
    <t>SWITCH/RACK</t>
  </si>
  <si>
    <t>02</t>
  </si>
  <si>
    <t>09/2019</t>
  </si>
  <si>
    <t>QUADRO DE DISTRIBUICAO DE ENERGIA DE EMBUTIR, EM CHAPA METALICA, PARA 52 DISJUNTORES TERMOMAGNETICOS MONOPOLARES, COM BARRAMENTO TRIFASICO E NEUTRO</t>
  </si>
  <si>
    <t>PIA DE COZINHA COM BANCADA EM AÇO INOX, DIM 1,20X0,55M C/ 01 CUBA, VÁLVULA CROMADA, SIFÃO CROMADO, ASSENTADA</t>
  </si>
  <si>
    <t>PIA DE COZINHA COM BANCADA EM AÇO INOX, DIM 1,60X0,55M C/ 01 CUBA, VÁLVULA CROMADA, SIFÃO CROMADO,  ASSENTADA</t>
  </si>
  <si>
    <t>6.1.5</t>
  </si>
  <si>
    <t>APLICAÇÃO MANUAL DE TEXTURA COM MASSA ACRÍLICA</t>
  </si>
  <si>
    <t>3.1.3</t>
  </si>
  <si>
    <t>3.1.4</t>
  </si>
  <si>
    <t>DESLOCAMENTO DE PONTOS DAS INSTALAÇÕES HIDROSSANITÁRIAS  - QUEBRA, MATERIAL E REPARO DA SUPERFÍCIE</t>
  </si>
  <si>
    <t>LIMPEZA DE SUPERFÍCIE COM JATO DE ALTA PRESSÃO</t>
  </si>
  <si>
    <t>DDR (esqueci)</t>
  </si>
  <si>
    <t>TAMPO DE BALCÃO EM GRANITO CINZA ANDORINHA, ESPESSURA DE 2CM</t>
  </si>
  <si>
    <r>
      <t>REVESTIMENTO CERÂMICO PARA PISO COM PLACAS TIPO PORCELANATO DE DIMENSÕES</t>
    </r>
    <r>
      <rPr>
        <strike/>
        <sz val="8"/>
        <color theme="1"/>
        <rFont val="Calibri"/>
        <family val="2"/>
      </rPr>
      <t xml:space="preserve"> 45X45 CM</t>
    </r>
    <r>
      <rPr>
        <sz val="8"/>
        <color theme="1"/>
        <rFont val="Calibri"/>
        <family val="2"/>
      </rPr>
      <t xml:space="preserve"> 62,5x62,5CM, APLICADO COM ARGAMASSA INDUSTRIALIZADA AC-III, REJUNTADO COM EPOXI</t>
    </r>
  </si>
  <si>
    <t>SOLEIRA EM GRANITO CINZA ANDORINHA 15 CM, ESPESSURA DE 3CM</t>
  </si>
  <si>
    <t>LAVATÓRIO COM BANCADA EM GRANITO CINZA ANDORINHA, E = 2CM, DIM 160X50CM COM 02 CUBAS DE EMBUTIR DE LOUÇA, SIFÃO CROMADO, VÁLVULA CROMADA, INCLUSIVE RODOPIA 10 CM, ASSENTADA</t>
  </si>
  <si>
    <r>
      <t>INSTALAÇÃO DE ISOLAMENTO COM LÃ DE</t>
    </r>
    <r>
      <rPr>
        <sz val="8"/>
        <color theme="1"/>
        <rFont val="Calibri"/>
        <family val="2"/>
      </rPr>
      <t xml:space="preserve"> PET EM PAREDES DRYWALL</t>
    </r>
  </si>
  <si>
    <t>INSTALAÇÃO DE REFORÇO DE MADEIRA EM PAREDE DRYWALL E=20CM</t>
  </si>
  <si>
    <t>TA 01 - PLANILHA ORÇAMENTÁRIA COMPILADA</t>
  </si>
  <si>
    <t>TA 01 - ACRÉSCIMOS</t>
  </si>
  <si>
    <t>TA 01 - SUPRESSÕES</t>
  </si>
  <si>
    <t>CRONOGRAMA FISICO - FINANCEIRO</t>
  </si>
  <si>
    <t>MÊS 01</t>
  </si>
  <si>
    <t>MÊS 02</t>
  </si>
  <si>
    <t>MÊS 03</t>
  </si>
  <si>
    <t>TOTAL</t>
  </si>
  <si>
    <t>PERC.</t>
  </si>
  <si>
    <t>VALOR</t>
  </si>
  <si>
    <t>DIVISÓRIA EM GRANITO POLIDO, ESPESSURA MAIOR OU IGUAL A 3CM</t>
  </si>
  <si>
    <t>4.2.2</t>
  </si>
  <si>
    <t>DIVISÓRIA PAINÉIS RETRÁTEIS</t>
  </si>
  <si>
    <t>5.1.9</t>
  </si>
  <si>
    <t>5.1.10</t>
  </si>
  <si>
    <t>5.1.11</t>
  </si>
  <si>
    <t>PLATIBANDA</t>
  </si>
  <si>
    <t>7.3.2</t>
  </si>
  <si>
    <t>7.4</t>
  </si>
  <si>
    <t>7.4.1</t>
  </si>
  <si>
    <t>7.4.2</t>
  </si>
  <si>
    <t>AR COMPRIMIDO</t>
  </si>
  <si>
    <t>8.5.2</t>
  </si>
  <si>
    <t>8.5.3</t>
  </si>
  <si>
    <t>8.5.4</t>
  </si>
  <si>
    <t>8.6</t>
  </si>
  <si>
    <t>LIXEIRA</t>
  </si>
  <si>
    <t>PAPELEIRA</t>
  </si>
  <si>
    <t>SABONETEIRA</t>
  </si>
  <si>
    <t>ASSENTO</t>
  </si>
  <si>
    <t>ESPELHO</t>
  </si>
  <si>
    <t>9.3</t>
  </si>
  <si>
    <t>SINALIZAÇÃO</t>
  </si>
  <si>
    <t>9.3.1</t>
  </si>
  <si>
    <t>FACHADA</t>
  </si>
  <si>
    <t>EXECUÇÃO DE ESCADA EM CONCRETO ARMADO MOLDADA IN LOCO, FCK = 25 MPA</t>
  </si>
  <si>
    <t>PAISAGISMO</t>
  </si>
  <si>
    <t>PLANTIO DE ÁRVORE ORNAMENTAL COM ALTURA DE MUDA MENOR OU IGUAL A 2,00M</t>
  </si>
  <si>
    <t>PLANTIO DE GRAMA EM PLACAS</t>
  </si>
  <si>
    <t>ALAMBRADO COM TELA DE ARAME GALVANIZADO FIO 12 BWG, MALHA 2 1/2", REVESTIDO EM PVC, FIXADA COM TUBOS DE AÇO GALVANIZADO 2", FORMANDO QUADROS DE 2.00 X 2.00 M</t>
  </si>
  <si>
    <t>PORTÃO EM TUBO FERRO GALVANIZADO E TELA DE ARAME GALVANIZADO, FIO 12 BWG, MALHA QUADRADA 2/12", REVESTIDA EM PVC</t>
  </si>
  <si>
    <t>10.5</t>
  </si>
  <si>
    <t>10.5.1</t>
  </si>
  <si>
    <t>10.5.2</t>
  </si>
  <si>
    <t>10.5.3</t>
  </si>
  <si>
    <t>ACUMULADO</t>
  </si>
  <si>
    <t>TA 01 - CRONOGRAMA FÍSICO FINANCEIRO</t>
  </si>
  <si>
    <t>MÊS 04</t>
  </si>
  <si>
    <t>Fd=0,4</t>
  </si>
  <si>
    <t>W</t>
  </si>
  <si>
    <t xml:space="preserve">a)   </t>
  </si>
  <si>
    <t>TUE ESPERA TORNEIRA ELÉTRICA TANQUE LAVA-PÉS</t>
  </si>
  <si>
    <t>TUE ESPERA DUCHA PCD</t>
  </si>
  <si>
    <t xml:space="preserve">AC </t>
  </si>
  <si>
    <t>FOTO</t>
  </si>
  <si>
    <t>PE07/2019</t>
  </si>
  <si>
    <t xml:space="preserve">b)   </t>
  </si>
  <si>
    <t>fd=0,76 (4 unid)</t>
  </si>
  <si>
    <t xml:space="preserve">c)   </t>
  </si>
  <si>
    <t xml:space="preserve">d)   </t>
  </si>
  <si>
    <t>fd=1</t>
  </si>
  <si>
    <t>w</t>
  </si>
  <si>
    <t xml:space="preserve">e)   </t>
  </si>
  <si>
    <t>VA</t>
  </si>
  <si>
    <t>fp=1</t>
  </si>
  <si>
    <t xml:space="preserve">f)   </t>
  </si>
  <si>
    <t>fd=0,9</t>
  </si>
  <si>
    <t>fp=0,8</t>
  </si>
  <si>
    <t xml:space="preserve">g)   </t>
  </si>
  <si>
    <t xml:space="preserve">h)   </t>
  </si>
  <si>
    <t xml:space="preserve">i)   </t>
  </si>
  <si>
    <t>fd=0,8 (3)</t>
  </si>
  <si>
    <t>fp=0,6</t>
  </si>
  <si>
    <t>&gt;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</si>
</sst>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&quot;R$&quot;\ #,##0.00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Arial"/>
      <family val="2"/>
    </font>
    <font>
      <b/>
      <sz val="10"/>
      <name val="Calibri"/>
      <family val="2"/>
    </font>
    <font>
      <sz val="8"/>
      <color rgb="FFFF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FF0000"/>
      <name val="Calibri"/>
      <family val="2"/>
      <scheme val="minor"/>
    </font>
    <font>
      <strike/>
      <sz val="8"/>
      <color rgb="FF000000"/>
      <name val="Calibri"/>
      <family val="2"/>
    </font>
    <font>
      <strike/>
      <sz val="8"/>
      <name val="Calibri"/>
      <family val="2"/>
    </font>
    <font>
      <sz val="8"/>
      <color rgb="FFFFC000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trike/>
      <sz val="8"/>
      <color rgb="FF000000"/>
      <name val="Calibri"/>
      <family val="2"/>
    </font>
    <font>
      <b/>
      <sz val="8"/>
      <color rgb="FFFF0000"/>
      <name val="Calibri"/>
      <family val="2"/>
    </font>
    <font>
      <b/>
      <i/>
      <sz val="10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name val="Calibri"/>
      <family val="2"/>
      <scheme val="minor"/>
    </font>
    <font>
      <b/>
      <strike/>
      <sz val="10"/>
      <color rgb="FF000000"/>
      <name val="Calibri"/>
      <family val="2"/>
    </font>
    <font>
      <b/>
      <strike/>
      <sz val="8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trike/>
      <sz val="8"/>
      <color theme="1"/>
      <name val="Calibri"/>
      <family val="2"/>
    </font>
    <font>
      <sz val="12"/>
      <color theme="1"/>
      <name val="Calibri"/>
      <family val="2"/>
    </font>
    <font>
      <sz val="12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EECF2"/>
        <bgColor indexed="64"/>
      </patternFill>
    </fill>
    <fill>
      <patternFill patternType="solid">
        <fgColor theme="3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3" fillId="0" borderId="0"/>
    <xf numFmtId="0" fontId="4" fillId="0" borderId="0"/>
    <xf numFmtId="0" fontId="7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5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22" borderId="5" applyNumberFormat="0" applyAlignment="0" applyProtection="0"/>
    <xf numFmtId="0" fontId="11" fillId="22" borderId="5" applyNumberFormat="0" applyAlignment="0" applyProtection="0"/>
    <xf numFmtId="0" fontId="12" fillId="23" borderId="6" applyNumberFormat="0" applyAlignment="0" applyProtection="0"/>
    <xf numFmtId="0" fontId="13" fillId="0" borderId="7" applyNumberFormat="0" applyFill="0" applyAlignment="0" applyProtection="0"/>
    <xf numFmtId="0" fontId="12" fillId="23" borderId="6" applyNumberFormat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4" fillId="9" borderId="5" applyNumberFormat="0" applyAlignment="0" applyProtection="0"/>
    <xf numFmtId="0" fontId="8" fillId="0" borderId="0"/>
    <xf numFmtId="0" fontId="1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4" fillId="9" borderId="5" applyNumberFormat="0" applyAlignment="0" applyProtection="0"/>
    <xf numFmtId="0" fontId="13" fillId="0" borderId="7" applyNumberFormat="0" applyFill="0" applyAlignment="0" applyProtection="0"/>
    <xf numFmtId="165" fontId="3" fillId="0" borderId="0" applyFont="0" applyFill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" fillId="25" borderId="11" applyNumberFormat="0" applyFont="0" applyAlignment="0" applyProtection="0"/>
    <xf numFmtId="0" fontId="3" fillId="25" borderId="11" applyNumberFormat="0" applyFont="0" applyAlignment="0" applyProtection="0"/>
    <xf numFmtId="0" fontId="17" fillId="22" borderId="12" applyNumberFormat="0" applyAlignment="0" applyProtection="0"/>
    <xf numFmtId="9" fontId="3" fillId="0" borderId="0" applyFont="0" applyFill="0" applyBorder="0" applyAlignment="0" applyProtection="0"/>
    <xf numFmtId="0" fontId="17" fillId="22" borderId="12" applyNumberFormat="0" applyAlignment="0" applyProtection="0"/>
    <xf numFmtId="16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26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6" fillId="0" borderId="0" xfId="92" applyFont="1" applyAlignment="1"/>
    <xf numFmtId="0" fontId="27" fillId="0" borderId="0" xfId="92" applyFont="1" applyAlignment="1"/>
    <xf numFmtId="0" fontId="26" fillId="0" borderId="0" xfId="92" applyFont="1" applyAlignment="1">
      <alignment wrapText="1"/>
    </xf>
    <xf numFmtId="0" fontId="27" fillId="0" borderId="0" xfId="92" applyFont="1" applyAlignment="1">
      <alignment horizontal="right"/>
    </xf>
    <xf numFmtId="0" fontId="26" fillId="0" borderId="0" xfId="92" applyFont="1" applyAlignment="1">
      <alignment horizontal="right"/>
    </xf>
    <xf numFmtId="0" fontId="6" fillId="0" borderId="3" xfId="92" applyFont="1" applyBorder="1" applyAlignment="1">
      <alignment horizontal="center" wrapText="1"/>
    </xf>
    <xf numFmtId="4" fontId="6" fillId="0" borderId="3" xfId="92" applyNumberFormat="1" applyFont="1" applyBorder="1" applyAlignment="1">
      <alignment horizontal="right" wrapText="1"/>
    </xf>
    <xf numFmtId="0" fontId="32" fillId="0" borderId="0" xfId="92" applyFont="1" applyAlignment="1">
      <alignment wrapText="1"/>
    </xf>
    <xf numFmtId="4" fontId="29" fillId="0" borderId="3" xfId="92" applyNumberFormat="1" applyFont="1" applyBorder="1" applyAlignment="1">
      <alignment horizontal="right" wrapText="1"/>
    </xf>
    <xf numFmtId="0" fontId="3" fillId="0" borderId="0" xfId="92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wrapText="1"/>
    </xf>
    <xf numFmtId="0" fontId="5" fillId="0" borderId="0" xfId="92" applyFont="1" applyBorder="1" applyAlignment="1">
      <alignment horizontal="center" wrapText="1"/>
    </xf>
    <xf numFmtId="0" fontId="0" fillId="0" borderId="0" xfId="0" applyAlignment="1">
      <alignment horizontal="left"/>
    </xf>
    <xf numFmtId="0" fontId="29" fillId="26" borderId="21" xfId="92" applyFont="1" applyFill="1" applyBorder="1" applyAlignment="1"/>
    <xf numFmtId="0" fontId="5" fillId="0" borderId="14" xfId="92" applyFont="1" applyBorder="1" applyAlignment="1">
      <alignment horizontal="left"/>
    </xf>
    <xf numFmtId="0" fontId="30" fillId="0" borderId="0" xfId="92" applyFont="1" applyAlignment="1">
      <alignment horizontal="right"/>
    </xf>
    <xf numFmtId="0" fontId="30" fillId="0" borderId="0" xfId="92" applyFont="1" applyAlignment="1"/>
    <xf numFmtId="0" fontId="28" fillId="0" borderId="0" xfId="92" applyFont="1" applyAlignment="1"/>
    <xf numFmtId="0" fontId="5" fillId="0" borderId="0" xfId="92" applyFont="1" applyAlignment="1"/>
    <xf numFmtId="0" fontId="29" fillId="26" borderId="18" xfId="92" applyFont="1" applyFill="1" applyBorder="1" applyAlignment="1"/>
    <xf numFmtId="0" fontId="29" fillId="26" borderId="19" xfId="92" applyFont="1" applyFill="1" applyBorder="1" applyAlignment="1"/>
    <xf numFmtId="0" fontId="29" fillId="26" borderId="20" xfId="92" applyFont="1" applyFill="1" applyBorder="1" applyAlignment="1"/>
    <xf numFmtId="0" fontId="30" fillId="0" borderId="19" xfId="92" applyFont="1" applyBorder="1" applyAlignment="1"/>
    <xf numFmtId="0" fontId="30" fillId="0" borderId="20" xfId="92" applyFont="1" applyBorder="1" applyAlignment="1"/>
    <xf numFmtId="0" fontId="6" fillId="0" borderId="2" xfId="92" applyFont="1" applyBorder="1" applyAlignment="1">
      <alignment horizontal="center" wrapText="1"/>
    </xf>
    <xf numFmtId="0" fontId="29" fillId="26" borderId="1" xfId="92" applyFont="1" applyFill="1" applyBorder="1" applyAlignment="1">
      <alignment horizontal="left" wrapText="1"/>
    </xf>
    <xf numFmtId="0" fontId="6" fillId="26" borderId="1" xfId="92" applyFont="1" applyFill="1" applyBorder="1" applyAlignment="1">
      <alignment horizontal="left" wrapText="1"/>
    </xf>
    <xf numFmtId="0" fontId="29" fillId="0" borderId="1" xfId="92" applyFont="1" applyBorder="1" applyAlignment="1">
      <alignment horizontal="left" wrapText="1"/>
    </xf>
    <xf numFmtId="0" fontId="29" fillId="0" borderId="1" xfId="92" applyFont="1" applyBorder="1" applyAlignment="1">
      <alignment horizontal="center" wrapText="1"/>
    </xf>
    <xf numFmtId="0" fontId="6" fillId="0" borderId="1" xfId="92" applyFont="1" applyBorder="1" applyAlignment="1">
      <alignment horizontal="center" wrapText="1"/>
    </xf>
    <xf numFmtId="0" fontId="6" fillId="0" borderId="1" xfId="92" applyFont="1" applyBorder="1" applyAlignment="1">
      <alignment horizontal="left" wrapText="1"/>
    </xf>
    <xf numFmtId="4" fontId="6" fillId="0" borderId="1" xfId="92" applyNumberFormat="1" applyFont="1" applyBorder="1" applyAlignment="1">
      <alignment horizontal="right" wrapText="1"/>
    </xf>
    <xf numFmtId="4" fontId="29" fillId="0" borderId="1" xfId="92" applyNumberFormat="1" applyFont="1" applyBorder="1" applyAlignment="1">
      <alignment horizontal="right" wrapText="1"/>
    </xf>
    <xf numFmtId="0" fontId="30" fillId="0" borderId="1" xfId="92" applyFont="1" applyBorder="1" applyAlignment="1">
      <alignment horizontal="left" wrapText="1" indent="2"/>
    </xf>
    <xf numFmtId="0" fontId="30" fillId="0" borderId="1" xfId="92" applyFont="1" applyBorder="1" applyAlignment="1">
      <alignment horizontal="center" wrapText="1"/>
    </xf>
    <xf numFmtId="0" fontId="5" fillId="0" borderId="1" xfId="92" applyFont="1" applyBorder="1" applyAlignment="1">
      <alignment horizontal="center" wrapText="1"/>
    </xf>
    <xf numFmtId="0" fontId="5" fillId="0" borderId="1" xfId="92" applyFont="1" applyBorder="1" applyAlignment="1">
      <alignment horizontal="left" wrapText="1"/>
    </xf>
    <xf numFmtId="4" fontId="5" fillId="0" borderId="1" xfId="92" applyNumberFormat="1" applyFont="1" applyBorder="1" applyAlignment="1">
      <alignment horizontal="right" wrapText="1"/>
    </xf>
    <xf numFmtId="4" fontId="30" fillId="0" borderId="1" xfId="92" applyNumberFormat="1" applyFont="1" applyBorder="1" applyAlignment="1">
      <alignment horizontal="right" wrapText="1"/>
    </xf>
    <xf numFmtId="4" fontId="5" fillId="0" borderId="1" xfId="92" applyNumberFormat="1" applyFont="1" applyBorder="1" applyAlignment="1">
      <alignment horizontal="center" wrapText="1"/>
    </xf>
    <xf numFmtId="4" fontId="30" fillId="0" borderId="1" xfId="92" applyNumberFormat="1" applyFont="1" applyBorder="1" applyAlignment="1">
      <alignment wrapText="1"/>
    </xf>
    <xf numFmtId="0" fontId="26" fillId="0" borderId="1" xfId="92" applyFont="1" applyBorder="1" applyAlignment="1">
      <alignment wrapText="1"/>
    </xf>
    <xf numFmtId="0" fontId="27" fillId="0" borderId="1" xfId="92" applyFont="1" applyBorder="1" applyAlignment="1">
      <alignment wrapText="1"/>
    </xf>
    <xf numFmtId="4" fontId="6" fillId="0" borderId="1" xfId="92" applyNumberFormat="1" applyFont="1" applyBorder="1" applyAlignment="1">
      <alignment horizontal="center" wrapText="1"/>
    </xf>
    <xf numFmtId="4" fontId="29" fillId="0" borderId="1" xfId="92" applyNumberFormat="1" applyFont="1" applyBorder="1" applyAlignment="1">
      <alignment wrapText="1"/>
    </xf>
    <xf numFmtId="0" fontId="30" fillId="0" borderId="1" xfId="92" applyFont="1" applyBorder="1" applyAlignment="1">
      <alignment horizontal="left" wrapText="1"/>
    </xf>
    <xf numFmtId="0" fontId="31" fillId="26" borderId="1" xfId="92" applyFont="1" applyFill="1" applyBorder="1" applyAlignment="1">
      <alignment horizontal="left" wrapText="1"/>
    </xf>
    <xf numFmtId="0" fontId="35" fillId="0" borderId="1" xfId="92" applyFont="1" applyBorder="1" applyAlignment="1">
      <alignment wrapText="1"/>
    </xf>
    <xf numFmtId="4" fontId="30" fillId="0" borderId="1" xfId="92" applyNumberFormat="1" applyFont="1" applyBorder="1" applyAlignment="1">
      <alignment horizontal="center" wrapText="1"/>
    </xf>
    <xf numFmtId="0" fontId="33" fillId="26" borderId="1" xfId="92" applyFont="1" applyFill="1" applyBorder="1" applyAlignment="1">
      <alignment horizontal="left" wrapText="1"/>
    </xf>
    <xf numFmtId="0" fontId="30" fillId="3" borderId="1" xfId="92" applyFont="1" applyFill="1" applyBorder="1" applyAlignment="1">
      <alignment horizontal="center" wrapText="1"/>
    </xf>
    <xf numFmtId="0" fontId="5" fillId="0" borderId="18" xfId="92" applyFont="1" applyBorder="1" applyAlignment="1"/>
    <xf numFmtId="0" fontId="5" fillId="0" borderId="19" xfId="92" applyFont="1" applyBorder="1" applyAlignment="1"/>
    <xf numFmtId="0" fontId="3" fillId="0" borderId="19" xfId="92" applyFont="1" applyBorder="1" applyAlignment="1"/>
    <xf numFmtId="10" fontId="30" fillId="0" borderId="18" xfId="92" applyNumberFormat="1" applyFont="1" applyBorder="1" applyAlignment="1">
      <alignment horizontal="left"/>
    </xf>
    <xf numFmtId="49" fontId="30" fillId="0" borderId="18" xfId="92" applyNumberFormat="1" applyFont="1" applyBorder="1" applyAlignment="1">
      <alignment horizontal="center"/>
    </xf>
    <xf numFmtId="0" fontId="6" fillId="0" borderId="17" xfId="92" applyFont="1" applyBorder="1" applyAlignment="1">
      <alignment horizontal="center" vertical="top" wrapText="1"/>
    </xf>
    <xf numFmtId="0" fontId="29" fillId="0" borderId="22" xfId="92" applyFont="1" applyBorder="1" applyAlignment="1">
      <alignment horizontal="center" vertical="top" wrapText="1"/>
    </xf>
    <xf numFmtId="0" fontId="6" fillId="0" borderId="24" xfId="92" applyFont="1" applyBorder="1" applyAlignment="1">
      <alignment horizontal="center" vertical="top" wrapText="1"/>
    </xf>
    <xf numFmtId="0" fontId="29" fillId="0" borderId="25" xfId="92" applyFont="1" applyBorder="1" applyAlignment="1">
      <alignment horizontal="center" vertical="top" wrapText="1"/>
    </xf>
    <xf numFmtId="0" fontId="29" fillId="0" borderId="26" xfId="92" applyFont="1" applyBorder="1" applyAlignment="1">
      <alignment horizontal="center" vertical="top" wrapText="1"/>
    </xf>
    <xf numFmtId="0" fontId="30" fillId="0" borderId="27" xfId="92" applyFont="1" applyBorder="1" applyAlignment="1">
      <alignment horizontal="left" wrapText="1" indent="2"/>
    </xf>
    <xf numFmtId="0" fontId="30" fillId="0" borderId="27" xfId="92" applyFont="1" applyBorder="1" applyAlignment="1">
      <alignment horizontal="center" wrapText="1"/>
    </xf>
    <xf numFmtId="0" fontId="5" fillId="0" borderId="27" xfId="92" applyFont="1" applyBorder="1" applyAlignment="1">
      <alignment horizontal="center" wrapText="1"/>
    </xf>
    <xf numFmtId="0" fontId="30" fillId="0" borderId="27" xfId="92" applyFont="1" applyBorder="1" applyAlignment="1">
      <alignment horizontal="left" wrapText="1"/>
    </xf>
    <xf numFmtId="4" fontId="30" fillId="0" borderId="27" xfId="92" applyNumberFormat="1" applyFont="1" applyBorder="1" applyAlignment="1">
      <alignment horizontal="right" wrapText="1"/>
    </xf>
    <xf numFmtId="4" fontId="5" fillId="0" borderId="27" xfId="92" applyNumberFormat="1" applyFont="1" applyBorder="1" applyAlignment="1">
      <alignment horizontal="center" wrapText="1"/>
    </xf>
    <xf numFmtId="0" fontId="27" fillId="2" borderId="2" xfId="92" applyFont="1" applyFill="1" applyBorder="1" applyAlignment="1"/>
    <xf numFmtId="0" fontId="27" fillId="2" borderId="3" xfId="92" applyFont="1" applyFill="1" applyBorder="1" applyAlignment="1"/>
    <xf numFmtId="9" fontId="5" fillId="0" borderId="1" xfId="97" applyFont="1" applyBorder="1" applyAlignment="1">
      <alignment horizontal="center" wrapText="1"/>
    </xf>
    <xf numFmtId="44" fontId="5" fillId="0" borderId="1" xfId="96" applyFont="1" applyBorder="1" applyAlignment="1">
      <alignment horizontal="center" wrapText="1"/>
    </xf>
    <xf numFmtId="0" fontId="29" fillId="26" borderId="2" xfId="92" applyFont="1" applyFill="1" applyBorder="1" applyAlignment="1">
      <alignment horizontal="left" wrapText="1"/>
    </xf>
    <xf numFmtId="0" fontId="29" fillId="26" borderId="3" xfId="92" applyFont="1" applyFill="1" applyBorder="1" applyAlignment="1">
      <alignment horizontal="left" wrapText="1"/>
    </xf>
    <xf numFmtId="0" fontId="29" fillId="26" borderId="3" xfId="92" applyFont="1" applyFill="1" applyBorder="1" applyAlignment="1">
      <alignment horizontal="right" wrapText="1"/>
    </xf>
    <xf numFmtId="166" fontId="29" fillId="26" borderId="3" xfId="92" applyNumberFormat="1" applyFont="1" applyFill="1" applyBorder="1" applyAlignment="1">
      <alignment wrapText="1"/>
    </xf>
    <xf numFmtId="44" fontId="6" fillId="2" borderId="3" xfId="92" applyNumberFormat="1" applyFont="1" applyFill="1" applyBorder="1" applyAlignment="1">
      <alignment horizontal="center" wrapText="1"/>
    </xf>
    <xf numFmtId="9" fontId="6" fillId="2" borderId="3" xfId="97" applyFont="1" applyFill="1" applyBorder="1" applyAlignment="1">
      <alignment horizontal="center" wrapText="1"/>
    </xf>
    <xf numFmtId="0" fontId="29" fillId="27" borderId="3" xfId="92" applyFont="1" applyFill="1" applyBorder="1" applyAlignment="1">
      <alignment horizontal="right" wrapText="1"/>
    </xf>
    <xf numFmtId="9" fontId="6" fillId="2" borderId="4" xfId="97" applyFont="1" applyFill="1" applyBorder="1" applyAlignment="1">
      <alignment horizontal="center" wrapText="1"/>
    </xf>
    <xf numFmtId="44" fontId="6" fillId="0" borderId="3" xfId="96" applyFont="1" applyBorder="1" applyAlignment="1">
      <alignment horizontal="center" wrapText="1"/>
    </xf>
    <xf numFmtId="44" fontId="6" fillId="0" borderId="3" xfId="92" applyNumberFormat="1" applyFont="1" applyBorder="1" applyAlignment="1">
      <alignment horizontal="center" wrapText="1"/>
    </xf>
    <xf numFmtId="9" fontId="6" fillId="0" borderId="3" xfId="97" applyFont="1" applyBorder="1" applyAlignment="1">
      <alignment horizontal="center" wrapText="1"/>
    </xf>
    <xf numFmtId="9" fontId="6" fillId="0" borderId="4" xfId="97" applyFont="1" applyBorder="1" applyAlignment="1">
      <alignment horizontal="center" wrapText="1"/>
    </xf>
    <xf numFmtId="0" fontId="36" fillId="27" borderId="3" xfId="92" applyFont="1" applyFill="1" applyBorder="1" applyAlignment="1">
      <alignment horizontal="right" vertical="center"/>
    </xf>
    <xf numFmtId="44" fontId="6" fillId="0" borderId="4" xfId="92" applyNumberFormat="1" applyFont="1" applyBorder="1" applyAlignment="1">
      <alignment horizontal="center" wrapText="1"/>
    </xf>
    <xf numFmtId="0" fontId="29" fillId="0" borderId="17" xfId="92" applyFont="1" applyBorder="1" applyAlignment="1">
      <alignment horizontal="center" vertical="center" wrapText="1"/>
    </xf>
    <xf numFmtId="4" fontId="5" fillId="0" borderId="1" xfId="92" applyNumberFormat="1" applyFont="1" applyFill="1" applyBorder="1" applyAlignment="1">
      <alignment horizontal="center" wrapText="1"/>
    </xf>
    <xf numFmtId="9" fontId="27" fillId="2" borderId="4" xfId="97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0" fillId="28" borderId="1" xfId="0" applyFill="1" applyBorder="1" applyAlignment="1">
      <alignment horizontal="center"/>
    </xf>
    <xf numFmtId="1" fontId="0" fillId="28" borderId="1" xfId="0" applyNumberFormat="1" applyFill="1" applyBorder="1" applyAlignment="1">
      <alignment horizontal="center"/>
    </xf>
    <xf numFmtId="0" fontId="0" fillId="28" borderId="1" xfId="0" applyFill="1" applyBorder="1" applyAlignment="1"/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/>
    <xf numFmtId="0" fontId="38" fillId="0" borderId="0" xfId="0" applyFont="1" applyAlignment="1">
      <alignment horizontal="left"/>
    </xf>
    <xf numFmtId="0" fontId="5" fillId="0" borderId="23" xfId="92" applyFont="1" applyBorder="1" applyAlignment="1"/>
    <xf numFmtId="0" fontId="27" fillId="0" borderId="0" xfId="92" applyFont="1" applyBorder="1" applyAlignment="1"/>
    <xf numFmtId="0" fontId="27" fillId="0" borderId="29" xfId="92" applyFont="1" applyBorder="1" applyAlignment="1"/>
    <xf numFmtId="0" fontId="29" fillId="0" borderId="30" xfId="92" applyFont="1" applyBorder="1" applyAlignment="1">
      <alignment horizontal="center" vertical="top" wrapText="1"/>
    </xf>
    <xf numFmtId="166" fontId="29" fillId="26" borderId="4" xfId="92" applyNumberFormat="1" applyFont="1" applyFill="1" applyBorder="1" applyAlignment="1">
      <alignment wrapText="1"/>
    </xf>
    <xf numFmtId="44" fontId="6" fillId="0" borderId="4" xfId="96" applyFont="1" applyBorder="1" applyAlignment="1">
      <alignment horizontal="center" wrapText="1"/>
    </xf>
    <xf numFmtId="0" fontId="39" fillId="0" borderId="1" xfId="92" applyFont="1" applyBorder="1" applyAlignment="1">
      <alignment horizontal="left" wrapText="1" indent="2"/>
    </xf>
    <xf numFmtId="0" fontId="39" fillId="0" borderId="1" xfId="92" applyFont="1" applyBorder="1" applyAlignment="1">
      <alignment horizontal="center" wrapText="1"/>
    </xf>
    <xf numFmtId="0" fontId="40" fillId="0" borderId="1" xfId="92" applyFont="1" applyBorder="1" applyAlignment="1">
      <alignment horizontal="center" wrapText="1"/>
    </xf>
    <xf numFmtId="0" fontId="40" fillId="0" borderId="1" xfId="92" applyFont="1" applyBorder="1" applyAlignment="1">
      <alignment horizontal="left" wrapText="1"/>
    </xf>
    <xf numFmtId="4" fontId="40" fillId="0" borderId="1" xfId="92" applyNumberFormat="1" applyFont="1" applyBorder="1" applyAlignment="1">
      <alignment horizontal="right" wrapText="1"/>
    </xf>
    <xf numFmtId="4" fontId="39" fillId="0" borderId="1" xfId="92" applyNumberFormat="1" applyFont="1" applyBorder="1" applyAlignment="1">
      <alignment horizontal="right" wrapText="1"/>
    </xf>
    <xf numFmtId="4" fontId="40" fillId="0" borderId="1" xfId="92" applyNumberFormat="1" applyFont="1" applyBorder="1" applyAlignment="1">
      <alignment horizontal="center" wrapText="1"/>
    </xf>
    <xf numFmtId="0" fontId="34" fillId="0" borderId="1" xfId="92" applyFont="1" applyBorder="1" applyAlignment="1">
      <alignment horizontal="left" wrapText="1" indent="2"/>
    </xf>
    <xf numFmtId="0" fontId="34" fillId="0" borderId="1" xfId="92" applyFont="1" applyBorder="1" applyAlignment="1">
      <alignment horizontal="center" wrapText="1"/>
    </xf>
    <xf numFmtId="0" fontId="34" fillId="0" borderId="1" xfId="92" applyFont="1" applyBorder="1" applyAlignment="1">
      <alignment horizontal="left" wrapText="1"/>
    </xf>
    <xf numFmtId="4" fontId="34" fillId="0" borderId="1" xfId="92" applyNumberFormat="1" applyFont="1" applyBorder="1" applyAlignment="1">
      <alignment horizontal="right" wrapText="1"/>
    </xf>
    <xf numFmtId="4" fontId="34" fillId="0" borderId="1" xfId="92" applyNumberFormat="1" applyFont="1" applyBorder="1" applyAlignment="1">
      <alignment horizontal="center" wrapText="1"/>
    </xf>
    <xf numFmtId="0" fontId="34" fillId="0" borderId="2" xfId="92" applyFont="1" applyBorder="1" applyAlignment="1">
      <alignment horizontal="center" wrapText="1"/>
    </xf>
    <xf numFmtId="4" fontId="34" fillId="0" borderId="3" xfId="92" applyNumberFormat="1" applyFont="1" applyBorder="1" applyAlignment="1">
      <alignment horizontal="right" wrapText="1"/>
    </xf>
    <xf numFmtId="0" fontId="40" fillId="0" borderId="1" xfId="92" applyFont="1" applyFill="1" applyBorder="1" applyAlignment="1">
      <alignment horizontal="left" wrapText="1"/>
    </xf>
    <xf numFmtId="4" fontId="40" fillId="0" borderId="1" xfId="92" applyNumberFormat="1" applyFont="1" applyFill="1" applyBorder="1" applyAlignment="1">
      <alignment horizontal="center" wrapText="1"/>
    </xf>
    <xf numFmtId="4" fontId="34" fillId="0" borderId="1" xfId="92" applyNumberFormat="1" applyFont="1" applyFill="1" applyBorder="1" applyAlignment="1">
      <alignment horizontal="center" wrapText="1"/>
    </xf>
    <xf numFmtId="2" fontId="0" fillId="0" borderId="0" xfId="0" applyNumberFormat="1"/>
    <xf numFmtId="2" fontId="44" fillId="29" borderId="0" xfId="0" applyNumberFormat="1" applyFont="1" applyFill="1"/>
    <xf numFmtId="2" fontId="44" fillId="30" borderId="0" xfId="0" applyNumberFormat="1" applyFont="1" applyFill="1"/>
    <xf numFmtId="2" fontId="43" fillId="0" borderId="0" xfId="0" applyNumberFormat="1" applyFont="1"/>
    <xf numFmtId="0" fontId="29" fillId="0" borderId="0" xfId="92" applyFont="1" applyBorder="1" applyAlignment="1">
      <alignment horizontal="left" wrapText="1" indent="2"/>
    </xf>
    <xf numFmtId="0" fontId="6" fillId="0" borderId="0" xfId="92" applyFont="1" applyBorder="1" applyAlignment="1">
      <alignment horizontal="left"/>
    </xf>
    <xf numFmtId="0" fontId="43" fillId="0" borderId="0" xfId="0" applyFont="1"/>
    <xf numFmtId="0" fontId="29" fillId="0" borderId="0" xfId="92" applyFont="1" applyBorder="1" applyAlignment="1">
      <alignment horizontal="left"/>
    </xf>
    <xf numFmtId="2" fontId="44" fillId="31" borderId="0" xfId="0" applyNumberFormat="1" applyFont="1" applyFill="1"/>
    <xf numFmtId="0" fontId="0" fillId="0" borderId="0" xfId="0" applyAlignment="1">
      <alignment vertical="center"/>
    </xf>
    <xf numFmtId="0" fontId="46" fillId="0" borderId="0" xfId="92" applyFont="1" applyBorder="1" applyAlignment="1">
      <alignment horizontal="left" wrapText="1" indent="2"/>
    </xf>
    <xf numFmtId="0" fontId="46" fillId="0" borderId="0" xfId="92" applyFont="1" applyBorder="1" applyAlignment="1">
      <alignment horizontal="left"/>
    </xf>
    <xf numFmtId="0" fontId="0" fillId="32" borderId="0" xfId="0" applyFill="1"/>
    <xf numFmtId="0" fontId="46" fillId="0" borderId="0" xfId="92" applyFont="1" applyBorder="1" applyAlignment="1"/>
    <xf numFmtId="0" fontId="39" fillId="0" borderId="1" xfId="92" applyFont="1" applyBorder="1" applyAlignment="1">
      <alignment horizontal="left" wrapText="1"/>
    </xf>
    <xf numFmtId="0" fontId="48" fillId="0" borderId="1" xfId="0" applyFont="1" applyBorder="1" applyAlignment="1">
      <alignment horizontal="center" vertical="center" wrapText="1"/>
    </xf>
    <xf numFmtId="0" fontId="6" fillId="0" borderId="1" xfId="92" applyFont="1" applyFill="1" applyBorder="1" applyAlignment="1">
      <alignment horizontal="left" wrapText="1"/>
    </xf>
    <xf numFmtId="0" fontId="49" fillId="0" borderId="1" xfId="0" applyFont="1" applyBorder="1" applyAlignment="1">
      <alignment horizontal="center" vertical="center" wrapText="1"/>
    </xf>
    <xf numFmtId="4" fontId="34" fillId="0" borderId="3" xfId="92" applyNumberFormat="1" applyFont="1" applyBorder="1" applyAlignment="1">
      <alignment horizontal="center" wrapText="1"/>
    </xf>
    <xf numFmtId="0" fontId="34" fillId="0" borderId="1" xfId="92" applyFont="1" applyFill="1" applyBorder="1" applyAlignment="1">
      <alignment horizontal="left" wrapText="1"/>
    </xf>
    <xf numFmtId="0" fontId="34" fillId="0" borderId="1" xfId="92" applyFont="1" applyBorder="1" applyAlignment="1">
      <alignment horizontal="left" vertical="center" wrapText="1"/>
    </xf>
    <xf numFmtId="4" fontId="34" fillId="0" borderId="1" xfId="92" applyNumberFormat="1" applyFont="1" applyBorder="1" applyAlignment="1">
      <alignment horizontal="left" vertical="center" wrapText="1"/>
    </xf>
    <xf numFmtId="0" fontId="34" fillId="0" borderId="1" xfId="92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48" fillId="0" borderId="1" xfId="0" applyNumberFormat="1" applyFont="1" applyBorder="1" applyAlignment="1">
      <alignment horizontal="center" vertical="center"/>
    </xf>
    <xf numFmtId="0" fontId="50" fillId="0" borderId="1" xfId="0" applyFont="1" applyBorder="1" applyAlignment="1">
      <alignment horizontal="left" wrapText="1"/>
    </xf>
    <xf numFmtId="0" fontId="48" fillId="0" borderId="1" xfId="0" applyFont="1" applyBorder="1" applyAlignment="1">
      <alignment horizontal="center"/>
    </xf>
    <xf numFmtId="2" fontId="48" fillId="0" borderId="1" xfId="0" applyNumberFormat="1" applyFont="1" applyBorder="1" applyAlignment="1">
      <alignment horizontal="center"/>
    </xf>
    <xf numFmtId="2" fontId="49" fillId="0" borderId="1" xfId="0" applyNumberFormat="1" applyFont="1" applyBorder="1" applyAlignment="1">
      <alignment horizontal="center"/>
    </xf>
    <xf numFmtId="0" fontId="48" fillId="0" borderId="1" xfId="0" applyFont="1" applyBorder="1" applyAlignment="1">
      <alignment horizontal="left" wrapText="1"/>
    </xf>
    <xf numFmtId="0" fontId="49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left" wrapText="1"/>
    </xf>
    <xf numFmtId="0" fontId="49" fillId="0" borderId="1" xfId="0" applyFont="1" applyBorder="1" applyAlignment="1">
      <alignment horizontal="center"/>
    </xf>
    <xf numFmtId="2" fontId="26" fillId="0" borderId="0" xfId="92" applyNumberFormat="1" applyFont="1" applyAlignment="1">
      <alignment wrapText="1"/>
    </xf>
    <xf numFmtId="0" fontId="45" fillId="26" borderId="1" xfId="92" applyFont="1" applyFill="1" applyBorder="1" applyAlignment="1">
      <alignment horizontal="left" wrapText="1"/>
    </xf>
    <xf numFmtId="0" fontId="51" fillId="26" borderId="1" xfId="92" applyFont="1" applyFill="1" applyBorder="1" applyAlignment="1">
      <alignment horizontal="left" wrapText="1"/>
    </xf>
    <xf numFmtId="0" fontId="45" fillId="26" borderId="2" xfId="92" applyFont="1" applyFill="1" applyBorder="1" applyAlignment="1">
      <alignment horizontal="left" wrapText="1"/>
    </xf>
    <xf numFmtId="0" fontId="45" fillId="26" borderId="3" xfId="92" applyFont="1" applyFill="1" applyBorder="1" applyAlignment="1">
      <alignment horizontal="left" wrapText="1"/>
    </xf>
    <xf numFmtId="0" fontId="45" fillId="26" borderId="3" xfId="92" applyFont="1" applyFill="1" applyBorder="1" applyAlignment="1">
      <alignment horizontal="right" wrapText="1"/>
    </xf>
    <xf numFmtId="166" fontId="45" fillId="26" borderId="4" xfId="92" applyNumberFormat="1" applyFont="1" applyFill="1" applyBorder="1" applyAlignment="1">
      <alignment wrapText="1"/>
    </xf>
    <xf numFmtId="0" fontId="45" fillId="0" borderId="1" xfId="92" applyFont="1" applyBorder="1" applyAlignment="1">
      <alignment horizontal="left" wrapText="1"/>
    </xf>
    <xf numFmtId="0" fontId="45" fillId="0" borderId="1" xfId="92" applyFont="1" applyBorder="1" applyAlignment="1">
      <alignment horizontal="center" wrapText="1"/>
    </xf>
    <xf numFmtId="0" fontId="52" fillId="0" borderId="1" xfId="92" applyFont="1" applyBorder="1" applyAlignment="1">
      <alignment horizontal="center" wrapText="1"/>
    </xf>
    <xf numFmtId="0" fontId="52" fillId="0" borderId="1" xfId="92" applyFont="1" applyBorder="1" applyAlignment="1">
      <alignment horizontal="left" wrapText="1"/>
    </xf>
    <xf numFmtId="0" fontId="52" fillId="0" borderId="2" xfId="92" applyFont="1" applyBorder="1" applyAlignment="1">
      <alignment horizontal="center" wrapText="1"/>
    </xf>
    <xf numFmtId="4" fontId="52" fillId="0" borderId="3" xfId="92" applyNumberFormat="1" applyFont="1" applyBorder="1" applyAlignment="1">
      <alignment horizontal="right" wrapText="1"/>
    </xf>
    <xf numFmtId="4" fontId="45" fillId="0" borderId="3" xfId="92" applyNumberFormat="1" applyFont="1" applyBorder="1" applyAlignment="1">
      <alignment horizontal="right" wrapText="1"/>
    </xf>
    <xf numFmtId="0" fontId="52" fillId="0" borderId="3" xfId="92" applyFont="1" applyBorder="1" applyAlignment="1">
      <alignment horizontal="center" wrapText="1"/>
    </xf>
    <xf numFmtId="44" fontId="52" fillId="0" borderId="4" xfId="96" applyFont="1" applyBorder="1" applyAlignment="1">
      <alignment horizontal="center" wrapText="1"/>
    </xf>
    <xf numFmtId="4" fontId="52" fillId="0" borderId="1" xfId="92" applyNumberFormat="1" applyFont="1" applyBorder="1" applyAlignment="1">
      <alignment horizontal="right" wrapText="1"/>
    </xf>
    <xf numFmtId="4" fontId="52" fillId="0" borderId="1" xfId="92" applyNumberFormat="1" applyFont="1" applyBorder="1" applyAlignment="1">
      <alignment horizontal="center" wrapText="1"/>
    </xf>
    <xf numFmtId="4" fontId="45" fillId="0" borderId="1" xfId="92" applyNumberFormat="1" applyFont="1" applyBorder="1" applyAlignment="1">
      <alignment wrapText="1"/>
    </xf>
    <xf numFmtId="4" fontId="39" fillId="0" borderId="1" xfId="92" applyNumberFormat="1" applyFont="1" applyBorder="1" applyAlignment="1">
      <alignment horizontal="center" wrapText="1"/>
    </xf>
    <xf numFmtId="49" fontId="30" fillId="0" borderId="18" xfId="92" applyNumberFormat="1" applyFont="1" applyBorder="1" applyAlignment="1">
      <alignment horizontal="center"/>
    </xf>
    <xf numFmtId="0" fontId="39" fillId="3" borderId="1" xfId="92" applyFont="1" applyFill="1" applyBorder="1" applyAlignment="1">
      <alignment horizontal="center" wrapText="1"/>
    </xf>
    <xf numFmtId="0" fontId="5" fillId="0" borderId="1" xfId="92" applyFont="1" applyFill="1" applyBorder="1" applyAlignment="1">
      <alignment horizontal="left" wrapText="1"/>
    </xf>
    <xf numFmtId="0" fontId="30" fillId="0" borderId="1" xfId="92" applyFont="1" applyFill="1" applyBorder="1" applyAlignment="1">
      <alignment horizontal="left" wrapText="1"/>
    </xf>
    <xf numFmtId="0" fontId="30" fillId="0" borderId="1" xfId="92" applyFont="1" applyFill="1" applyBorder="1" applyAlignment="1">
      <alignment horizontal="left" wrapText="1" indent="2"/>
    </xf>
    <xf numFmtId="0" fontId="30" fillId="0" borderId="1" xfId="92" applyFont="1" applyFill="1" applyBorder="1" applyAlignment="1">
      <alignment horizontal="center" wrapText="1"/>
    </xf>
    <xf numFmtId="0" fontId="5" fillId="0" borderId="1" xfId="92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4" fontId="5" fillId="0" borderId="1" xfId="92" applyNumberFormat="1" applyFont="1" applyFill="1" applyBorder="1" applyAlignment="1">
      <alignment horizontal="right" wrapText="1"/>
    </xf>
    <xf numFmtId="4" fontId="30" fillId="0" borderId="1" xfId="92" applyNumberFormat="1" applyFont="1" applyFill="1" applyBorder="1" applyAlignment="1">
      <alignment horizontal="right" wrapText="1"/>
    </xf>
    <xf numFmtId="2" fontId="5" fillId="0" borderId="1" xfId="92" applyNumberFormat="1" applyFont="1" applyBorder="1" applyAlignment="1">
      <alignment horizontal="center" wrapText="1"/>
    </xf>
    <xf numFmtId="166" fontId="26" fillId="0" borderId="0" xfId="92" applyNumberFormat="1" applyFont="1" applyAlignment="1">
      <alignment horizontal="right"/>
    </xf>
    <xf numFmtId="166" fontId="26" fillId="0" borderId="0" xfId="92" applyNumberFormat="1" applyFont="1" applyAlignment="1"/>
    <xf numFmtId="4" fontId="26" fillId="0" borderId="0" xfId="92" applyNumberFormat="1" applyFont="1" applyAlignment="1">
      <alignment wrapText="1"/>
    </xf>
    <xf numFmtId="4" fontId="34" fillId="0" borderId="1" xfId="92" applyNumberFormat="1" applyFont="1" applyFill="1" applyBorder="1" applyAlignment="1">
      <alignment horizontal="right" wrapText="1"/>
    </xf>
    <xf numFmtId="0" fontId="54" fillId="0" borderId="19" xfId="92" applyFont="1" applyBorder="1" applyAlignment="1"/>
    <xf numFmtId="0" fontId="54" fillId="0" borderId="20" xfId="92" applyFont="1" applyBorder="1" applyAlignment="1"/>
    <xf numFmtId="0" fontId="54" fillId="0" borderId="18" xfId="92" applyFont="1" applyBorder="1" applyAlignment="1"/>
    <xf numFmtId="0" fontId="54" fillId="0" borderId="23" xfId="92" applyFont="1" applyBorder="1" applyAlignment="1"/>
    <xf numFmtId="0" fontId="55" fillId="0" borderId="19" xfId="92" applyFont="1" applyBorder="1" applyAlignment="1"/>
    <xf numFmtId="0" fontId="56" fillId="0" borderId="0" xfId="92" applyFont="1" applyBorder="1" applyAlignment="1"/>
    <xf numFmtId="0" fontId="56" fillId="0" borderId="29" xfId="92" applyFont="1" applyBorder="1" applyAlignment="1"/>
    <xf numFmtId="0" fontId="53" fillId="0" borderId="17" xfId="92" applyFont="1" applyBorder="1" applyAlignment="1">
      <alignment horizontal="center" vertical="center" wrapText="1"/>
    </xf>
    <xf numFmtId="0" fontId="53" fillId="0" borderId="17" xfId="92" applyFont="1" applyBorder="1" applyAlignment="1">
      <alignment horizontal="center" vertical="top" wrapText="1"/>
    </xf>
    <xf numFmtId="0" fontId="53" fillId="0" borderId="30" xfId="92" applyFont="1" applyBorder="1" applyAlignment="1">
      <alignment horizontal="center" vertical="top" wrapText="1"/>
    </xf>
    <xf numFmtId="0" fontId="53" fillId="26" borderId="1" xfId="92" applyFont="1" applyFill="1" applyBorder="1" applyAlignment="1">
      <alignment horizontal="left" wrapText="1"/>
    </xf>
    <xf numFmtId="0" fontId="57" fillId="26" borderId="1" xfId="92" applyFont="1" applyFill="1" applyBorder="1" applyAlignment="1">
      <alignment horizontal="left" wrapText="1"/>
    </xf>
    <xf numFmtId="0" fontId="53" fillId="26" borderId="2" xfId="92" applyFont="1" applyFill="1" applyBorder="1" applyAlignment="1">
      <alignment horizontal="left" wrapText="1"/>
    </xf>
    <xf numFmtId="0" fontId="53" fillId="26" borderId="3" xfId="92" applyFont="1" applyFill="1" applyBorder="1" applyAlignment="1">
      <alignment horizontal="left" wrapText="1"/>
    </xf>
    <xf numFmtId="0" fontId="53" fillId="26" borderId="3" xfId="92" applyFont="1" applyFill="1" applyBorder="1" applyAlignment="1">
      <alignment horizontal="right" wrapText="1"/>
    </xf>
    <xf numFmtId="166" fontId="53" fillId="26" borderId="4" xfId="92" applyNumberFormat="1" applyFont="1" applyFill="1" applyBorder="1" applyAlignment="1">
      <alignment wrapText="1"/>
    </xf>
    <xf numFmtId="0" fontId="53" fillId="0" borderId="1" xfId="92" applyFont="1" applyBorder="1" applyAlignment="1">
      <alignment horizontal="left" wrapText="1"/>
    </xf>
    <xf numFmtId="0" fontId="53" fillId="0" borderId="1" xfId="92" applyFont="1" applyBorder="1" applyAlignment="1">
      <alignment horizontal="center" wrapText="1"/>
    </xf>
    <xf numFmtId="0" fontId="53" fillId="0" borderId="2" xfId="92" applyFont="1" applyBorder="1" applyAlignment="1">
      <alignment horizontal="center" wrapText="1"/>
    </xf>
    <xf numFmtId="4" fontId="53" fillId="0" borderId="3" xfId="92" applyNumberFormat="1" applyFont="1" applyBorder="1" applyAlignment="1">
      <alignment horizontal="right" wrapText="1"/>
    </xf>
    <xf numFmtId="0" fontId="53" fillId="0" borderId="3" xfId="92" applyFont="1" applyBorder="1" applyAlignment="1">
      <alignment horizontal="center" wrapText="1"/>
    </xf>
    <xf numFmtId="44" fontId="53" fillId="0" borderId="4" xfId="96" applyFont="1" applyBorder="1" applyAlignment="1">
      <alignment horizontal="center" wrapText="1"/>
    </xf>
    <xf numFmtId="0" fontId="54" fillId="0" borderId="1" xfId="92" applyFont="1" applyBorder="1" applyAlignment="1">
      <alignment horizontal="left" wrapText="1" indent="2"/>
    </xf>
    <xf numFmtId="0" fontId="54" fillId="0" borderId="1" xfId="92" applyFont="1" applyBorder="1" applyAlignment="1">
      <alignment horizontal="center" wrapText="1"/>
    </xf>
    <xf numFmtId="0" fontId="54" fillId="0" borderId="1" xfId="92" applyFont="1" applyBorder="1" applyAlignment="1">
      <alignment horizontal="left" wrapText="1"/>
    </xf>
    <xf numFmtId="4" fontId="54" fillId="0" borderId="1" xfId="92" applyNumberFormat="1" applyFont="1" applyBorder="1" applyAlignment="1">
      <alignment horizontal="right" wrapText="1"/>
    </xf>
    <xf numFmtId="4" fontId="54" fillId="0" borderId="1" xfId="92" applyNumberFormat="1" applyFont="1" applyBorder="1" applyAlignment="1">
      <alignment horizontal="center" wrapText="1"/>
    </xf>
    <xf numFmtId="4" fontId="54" fillId="0" borderId="1" xfId="92" applyNumberFormat="1" applyFont="1" applyFill="1" applyBorder="1" applyAlignment="1">
      <alignment horizontal="right" wrapText="1"/>
    </xf>
    <xf numFmtId="4" fontId="54" fillId="0" borderId="1" xfId="92" applyNumberFormat="1" applyFont="1" applyFill="1" applyBorder="1" applyAlignment="1">
      <alignment horizontal="center" wrapText="1"/>
    </xf>
    <xf numFmtId="0" fontId="54" fillId="0" borderId="2" xfId="92" applyFont="1" applyBorder="1" applyAlignment="1">
      <alignment horizontal="center" wrapText="1"/>
    </xf>
    <xf numFmtId="4" fontId="54" fillId="0" borderId="3" xfId="92" applyNumberFormat="1" applyFont="1" applyBorder="1" applyAlignment="1">
      <alignment horizontal="right" wrapText="1"/>
    </xf>
    <xf numFmtId="0" fontId="54" fillId="0" borderId="1" xfId="92" applyFont="1" applyFill="1" applyBorder="1" applyAlignment="1">
      <alignment horizontal="left" wrapText="1"/>
    </xf>
    <xf numFmtId="4" fontId="54" fillId="0" borderId="3" xfId="92" applyNumberFormat="1" applyFont="1" applyBorder="1" applyAlignment="1">
      <alignment horizontal="center" wrapText="1"/>
    </xf>
    <xf numFmtId="0" fontId="54" fillId="0" borderId="1" xfId="92" applyFont="1" applyBorder="1" applyAlignment="1">
      <alignment horizontal="center" vertical="center" wrapText="1"/>
    </xf>
    <xf numFmtId="0" fontId="54" fillId="0" borderId="1" xfId="92" applyFont="1" applyBorder="1" applyAlignment="1">
      <alignment horizontal="left" vertical="center" wrapText="1"/>
    </xf>
    <xf numFmtId="4" fontId="54" fillId="0" borderId="1" xfId="92" applyNumberFormat="1" applyFont="1" applyBorder="1" applyAlignment="1">
      <alignment horizontal="left" vertical="center" wrapText="1"/>
    </xf>
    <xf numFmtId="0" fontId="56" fillId="2" borderId="2" xfId="92" applyFont="1" applyFill="1" applyBorder="1" applyAlignment="1"/>
    <xf numFmtId="0" fontId="56" fillId="2" borderId="3" xfId="92" applyFont="1" applyFill="1" applyBorder="1" applyAlignment="1"/>
    <xf numFmtId="0" fontId="59" fillId="27" borderId="3" xfId="92" applyFont="1" applyFill="1" applyBorder="1" applyAlignment="1">
      <alignment horizontal="right" vertical="center"/>
    </xf>
    <xf numFmtId="0" fontId="54" fillId="0" borderId="1" xfId="92" applyFont="1" applyFill="1" applyBorder="1" applyAlignment="1">
      <alignment horizontal="left" wrapText="1" indent="2"/>
    </xf>
    <xf numFmtId="0" fontId="54" fillId="0" borderId="1" xfId="92" applyFont="1" applyFill="1" applyBorder="1" applyAlignment="1">
      <alignment horizontal="center" wrapText="1"/>
    </xf>
    <xf numFmtId="0" fontId="53" fillId="0" borderId="1" xfId="92" applyFont="1" applyFill="1" applyBorder="1" applyAlignment="1">
      <alignment horizontal="left" wrapText="1"/>
    </xf>
    <xf numFmtId="0" fontId="54" fillId="3" borderId="1" xfId="92" applyFont="1" applyFill="1" applyBorder="1" applyAlignment="1">
      <alignment horizontal="center" wrapText="1"/>
    </xf>
    <xf numFmtId="4" fontId="53" fillId="0" borderId="1" xfId="92" applyNumberFormat="1" applyFont="1" applyBorder="1" applyAlignment="1">
      <alignment horizontal="right" wrapText="1"/>
    </xf>
    <xf numFmtId="4" fontId="53" fillId="0" borderId="1" xfId="92" applyNumberFormat="1" applyFont="1" applyBorder="1" applyAlignment="1">
      <alignment horizontal="center" wrapText="1"/>
    </xf>
    <xf numFmtId="4" fontId="53" fillId="0" borderId="1" xfId="92" applyNumberFormat="1" applyFont="1" applyBorder="1" applyAlignment="1">
      <alignment wrapText="1"/>
    </xf>
    <xf numFmtId="0" fontId="3" fillId="0" borderId="31" xfId="92" applyFont="1" applyBorder="1" applyAlignment="1"/>
    <xf numFmtId="0" fontId="29" fillId="26" borderId="32" xfId="92" applyFont="1" applyFill="1" applyBorder="1" applyAlignment="1"/>
    <xf numFmtId="0" fontId="29" fillId="26" borderId="33" xfId="92" applyFont="1" applyFill="1" applyBorder="1" applyAlignment="1"/>
    <xf numFmtId="0" fontId="29" fillId="26" borderId="34" xfId="92" applyFont="1" applyFill="1" applyBorder="1" applyAlignment="1"/>
    <xf numFmtId="0" fontId="29" fillId="26" borderId="35" xfId="92" applyFont="1" applyFill="1" applyBorder="1" applyAlignment="1"/>
    <xf numFmtId="0" fontId="29" fillId="26" borderId="36" xfId="92" applyFont="1" applyFill="1" applyBorder="1" applyAlignment="1"/>
    <xf numFmtId="0" fontId="5" fillId="0" borderId="37" xfId="92" applyFont="1" applyBorder="1" applyAlignment="1">
      <alignment horizontal="left"/>
    </xf>
    <xf numFmtId="0" fontId="3" fillId="0" borderId="38" xfId="92" applyFont="1" applyBorder="1" applyAlignment="1"/>
    <xf numFmtId="0" fontId="29" fillId="0" borderId="46" xfId="92" applyFont="1" applyBorder="1" applyAlignment="1">
      <alignment horizontal="center" vertical="center" wrapText="1"/>
    </xf>
    <xf numFmtId="0" fontId="6" fillId="0" borderId="46" xfId="92" applyFont="1" applyBorder="1" applyAlignment="1">
      <alignment horizontal="center" vertical="top" wrapText="1"/>
    </xf>
    <xf numFmtId="0" fontId="29" fillId="0" borderId="47" xfId="92" applyFont="1" applyBorder="1" applyAlignment="1">
      <alignment horizontal="center" vertical="top" wrapText="1"/>
    </xf>
    <xf numFmtId="0" fontId="53" fillId="26" borderId="32" xfId="92" applyFont="1" applyFill="1" applyBorder="1" applyAlignment="1"/>
    <xf numFmtId="0" fontId="53" fillId="26" borderId="33" xfId="92" applyFont="1" applyFill="1" applyBorder="1" applyAlignment="1"/>
    <xf numFmtId="0" fontId="53" fillId="26" borderId="34" xfId="92" applyFont="1" applyFill="1" applyBorder="1" applyAlignment="1"/>
    <xf numFmtId="0" fontId="53" fillId="26" borderId="35" xfId="92" applyFont="1" applyFill="1" applyBorder="1" applyAlignment="1"/>
    <xf numFmtId="0" fontId="53" fillId="26" borderId="36" xfId="92" applyFont="1" applyFill="1" applyBorder="1" applyAlignment="1"/>
    <xf numFmtId="0" fontId="54" fillId="0" borderId="37" xfId="92" applyFont="1" applyBorder="1" applyAlignment="1">
      <alignment horizontal="left"/>
    </xf>
    <xf numFmtId="0" fontId="55" fillId="0" borderId="48" xfId="92" applyFont="1" applyBorder="1" applyAlignment="1"/>
    <xf numFmtId="0" fontId="5" fillId="0" borderId="49" xfId="92" applyFont="1" applyBorder="1" applyAlignment="1">
      <alignment horizontal="left"/>
    </xf>
    <xf numFmtId="0" fontId="30" fillId="0" borderId="33" xfId="92" applyFont="1" applyBorder="1" applyAlignment="1"/>
    <xf numFmtId="0" fontId="30" fillId="0" borderId="34" xfId="92" applyFont="1" applyBorder="1" applyAlignment="1"/>
    <xf numFmtId="0" fontId="5" fillId="0" borderId="33" xfId="92" applyFont="1" applyBorder="1" applyAlignment="1"/>
    <xf numFmtId="0" fontId="5" fillId="0" borderId="35" xfId="92" applyFont="1" applyBorder="1" applyAlignment="1"/>
    <xf numFmtId="0" fontId="5" fillId="0" borderId="36" xfId="92" applyFont="1" applyBorder="1" applyAlignment="1"/>
    <xf numFmtId="0" fontId="3" fillId="0" borderId="48" xfId="92" applyFont="1" applyBorder="1" applyAlignment="1"/>
    <xf numFmtId="0" fontId="29" fillId="26" borderId="50" xfId="92" applyFont="1" applyFill="1" applyBorder="1" applyAlignment="1"/>
    <xf numFmtId="0" fontId="29" fillId="26" borderId="42" xfId="92" applyFont="1" applyFill="1" applyBorder="1" applyAlignment="1"/>
    <xf numFmtId="0" fontId="29" fillId="26" borderId="41" xfId="92" applyFont="1" applyFill="1" applyBorder="1" applyAlignment="1"/>
    <xf numFmtId="0" fontId="29" fillId="26" borderId="51" xfId="92" applyFont="1" applyFill="1" applyBorder="1" applyAlignment="1"/>
    <xf numFmtId="10" fontId="29" fillId="2" borderId="62" xfId="92" applyNumberFormat="1" applyFont="1" applyFill="1" applyBorder="1" applyAlignment="1">
      <alignment horizontal="right" vertical="center" wrapText="1"/>
    </xf>
    <xf numFmtId="166" fontId="29" fillId="2" borderId="63" xfId="92" applyNumberFormat="1" applyFont="1" applyFill="1" applyBorder="1" applyAlignment="1">
      <alignment horizontal="center" vertical="center" wrapText="1"/>
    </xf>
    <xf numFmtId="10" fontId="29" fillId="2" borderId="62" xfId="92" applyNumberFormat="1" applyFont="1" applyFill="1" applyBorder="1" applyAlignment="1">
      <alignment horizontal="center" vertical="center" wrapText="1"/>
    </xf>
    <xf numFmtId="0" fontId="29" fillId="0" borderId="65" xfId="92" applyFont="1" applyFill="1" applyBorder="1" applyAlignment="1">
      <alignment horizontal="left" wrapText="1"/>
    </xf>
    <xf numFmtId="0" fontId="29" fillId="0" borderId="61" xfId="92" applyFont="1" applyFill="1" applyBorder="1" applyAlignment="1">
      <alignment horizontal="left"/>
    </xf>
    <xf numFmtId="166" fontId="2" fillId="0" borderId="67" xfId="0" applyNumberFormat="1" applyFont="1" applyBorder="1"/>
    <xf numFmtId="166" fontId="61" fillId="0" borderId="68" xfId="0" applyNumberFormat="1" applyFont="1" applyBorder="1"/>
    <xf numFmtId="166" fontId="0" fillId="0" borderId="0" xfId="0" applyNumberFormat="1"/>
    <xf numFmtId="0" fontId="30" fillId="0" borderId="60" xfId="92" applyFont="1" applyFill="1" applyBorder="1" applyAlignment="1">
      <alignment horizontal="left" wrapText="1"/>
    </xf>
    <xf numFmtId="0" fontId="5" fillId="0" borderId="61" xfId="92" applyFont="1" applyFill="1" applyBorder="1" applyAlignment="1">
      <alignment horizontal="left" wrapText="1"/>
    </xf>
    <xf numFmtId="10" fontId="2" fillId="0" borderId="4" xfId="0" applyNumberFormat="1" applyFont="1" applyBorder="1"/>
    <xf numFmtId="166" fontId="2" fillId="0" borderId="69" xfId="0" applyNumberFormat="1" applyFont="1" applyBorder="1"/>
    <xf numFmtId="10" fontId="2" fillId="0" borderId="70" xfId="97" applyNumberFormat="1" applyFont="1" applyBorder="1"/>
    <xf numFmtId="166" fontId="61" fillId="0" borderId="61" xfId="0" applyNumberFormat="1" applyFont="1" applyBorder="1"/>
    <xf numFmtId="0" fontId="30" fillId="0" borderId="71" xfId="92" applyFont="1" applyFill="1" applyBorder="1" applyAlignment="1">
      <alignment horizontal="left" wrapText="1" indent="2"/>
    </xf>
    <xf numFmtId="0" fontId="34" fillId="0" borderId="61" xfId="92" applyFont="1" applyFill="1" applyBorder="1" applyAlignment="1">
      <alignment horizontal="left"/>
    </xf>
    <xf numFmtId="0" fontId="30" fillId="0" borderId="72" xfId="92" applyFont="1" applyFill="1" applyBorder="1" applyAlignment="1">
      <alignment horizontal="left" wrapText="1" indent="2"/>
    </xf>
    <xf numFmtId="0" fontId="34" fillId="0" borderId="61" xfId="92" applyFont="1" applyFill="1" applyBorder="1" applyAlignment="1">
      <alignment horizontal="left" wrapText="1"/>
    </xf>
    <xf numFmtId="0" fontId="29" fillId="0" borderId="60" xfId="92" applyFont="1" applyFill="1" applyBorder="1" applyAlignment="1">
      <alignment horizontal="left" wrapText="1"/>
    </xf>
    <xf numFmtId="0" fontId="6" fillId="0" borderId="61" xfId="92" applyFont="1" applyFill="1" applyBorder="1" applyAlignment="1">
      <alignment horizontal="left" wrapText="1"/>
    </xf>
    <xf numFmtId="0" fontId="29" fillId="0" borderId="60" xfId="92" applyFont="1" applyFill="1" applyBorder="1" applyAlignment="1">
      <alignment horizontal="left" wrapText="1" indent="2"/>
    </xf>
    <xf numFmtId="0" fontId="29" fillId="0" borderId="61" xfId="92" applyFont="1" applyFill="1" applyBorder="1" applyAlignment="1">
      <alignment horizontal="left" wrapText="1"/>
    </xf>
    <xf numFmtId="0" fontId="30" fillId="0" borderId="60" xfId="92" applyFont="1" applyFill="1" applyBorder="1" applyAlignment="1">
      <alignment horizontal="left" wrapText="1" indent="2"/>
    </xf>
    <xf numFmtId="0" fontId="30" fillId="0" borderId="61" xfId="92" applyFont="1" applyFill="1" applyBorder="1" applyAlignment="1">
      <alignment horizontal="left"/>
    </xf>
    <xf numFmtId="10" fontId="0" fillId="0" borderId="0" xfId="0" applyNumberFormat="1"/>
    <xf numFmtId="0" fontId="6" fillId="0" borderId="61" xfId="92" applyFont="1" applyFill="1" applyBorder="1" applyAlignment="1">
      <alignment horizontal="left"/>
    </xf>
    <xf numFmtId="0" fontId="29" fillId="0" borderId="61" xfId="92" applyFont="1" applyFill="1" applyBorder="1" applyAlignment="1">
      <alignment horizontal="center" wrapText="1"/>
    </xf>
    <xf numFmtId="0" fontId="33" fillId="0" borderId="60" xfId="92" applyFont="1" applyFill="1" applyBorder="1" applyAlignment="1">
      <alignment horizontal="left" wrapText="1"/>
    </xf>
    <xf numFmtId="0" fontId="46" fillId="0" borderId="61" xfId="92" applyFont="1" applyFill="1" applyBorder="1" applyAlignment="1">
      <alignment horizontal="left" wrapText="1"/>
    </xf>
    <xf numFmtId="0" fontId="46" fillId="0" borderId="61" xfId="92" applyFont="1" applyFill="1" applyBorder="1" applyAlignment="1">
      <alignment horizontal="center" wrapText="1"/>
    </xf>
    <xf numFmtId="10" fontId="2" fillId="0" borderId="0" xfId="0" applyNumberFormat="1" applyFont="1" applyBorder="1"/>
    <xf numFmtId="166" fontId="2" fillId="0" borderId="73" xfId="0" applyNumberFormat="1" applyFont="1" applyBorder="1"/>
    <xf numFmtId="10" fontId="2" fillId="0" borderId="74" xfId="97" applyNumberFormat="1" applyFont="1" applyBorder="1"/>
    <xf numFmtId="0" fontId="29" fillId="0" borderId="75" xfId="92" applyFont="1" applyFill="1" applyBorder="1" applyAlignment="1">
      <alignment horizontal="left" wrapText="1"/>
    </xf>
    <xf numFmtId="0" fontId="30" fillId="0" borderId="43" xfId="92" applyFont="1" applyBorder="1" applyAlignment="1">
      <alignment horizontal="left" wrapText="1"/>
    </xf>
    <xf numFmtId="10" fontId="0" fillId="0" borderId="0" xfId="0" applyNumberFormat="1" applyFont="1" applyBorder="1"/>
    <xf numFmtId="166" fontId="0" fillId="0" borderId="73" xfId="0" applyNumberFormat="1" applyFont="1" applyBorder="1"/>
    <xf numFmtId="10" fontId="1" fillId="0" borderId="74" xfId="97" applyNumberFormat="1" applyFont="1" applyBorder="1"/>
    <xf numFmtId="166" fontId="0" fillId="0" borderId="76" xfId="0" applyNumberFormat="1" applyFont="1" applyBorder="1"/>
    <xf numFmtId="0" fontId="30" fillId="0" borderId="40" xfId="92" applyFont="1" applyBorder="1" applyAlignment="1">
      <alignment horizontal="left" wrapText="1" indent="2"/>
    </xf>
    <xf numFmtId="0" fontId="30" fillId="0" borderId="77" xfId="92" applyFont="1" applyBorder="1" applyAlignment="1">
      <alignment horizontal="left" wrapText="1"/>
    </xf>
    <xf numFmtId="0" fontId="0" fillId="0" borderId="0" xfId="0" applyFont="1" applyBorder="1"/>
    <xf numFmtId="0" fontId="62" fillId="0" borderId="52" xfId="0" applyFont="1" applyBorder="1" applyAlignment="1">
      <alignment horizontal="right"/>
    </xf>
    <xf numFmtId="166" fontId="63" fillId="33" borderId="79" xfId="0" applyNumberFormat="1" applyFont="1" applyFill="1" applyBorder="1"/>
    <xf numFmtId="0" fontId="62" fillId="0" borderId="75" xfId="0" applyFont="1" applyBorder="1" applyAlignment="1">
      <alignment horizontal="right"/>
    </xf>
    <xf numFmtId="166" fontId="62" fillId="0" borderId="63" xfId="0" applyNumberFormat="1" applyFont="1" applyBorder="1"/>
    <xf numFmtId="166" fontId="62" fillId="3" borderId="80" xfId="0" applyNumberFormat="1" applyFont="1" applyFill="1" applyBorder="1"/>
    <xf numFmtId="10" fontId="0" fillId="0" borderId="0" xfId="97" applyNumberFormat="1" applyFont="1"/>
    <xf numFmtId="0" fontId="3" fillId="0" borderId="39" xfId="92" applyFont="1" applyBorder="1" applyAlignment="1"/>
    <xf numFmtId="0" fontId="3" fillId="0" borderId="0" xfId="92" applyFont="1" applyBorder="1" applyAlignment="1"/>
    <xf numFmtId="0" fontId="5" fillId="0" borderId="81" xfId="92" applyFont="1" applyBorder="1" applyAlignment="1"/>
    <xf numFmtId="0" fontId="5" fillId="0" borderId="82" xfId="92" applyFont="1" applyBorder="1" applyAlignment="1"/>
    <xf numFmtId="0" fontId="5" fillId="0" borderId="68" xfId="92" applyFont="1" applyBorder="1" applyAlignment="1">
      <alignment horizontal="left"/>
    </xf>
    <xf numFmtId="0" fontId="29" fillId="0" borderId="83" xfId="92" applyFont="1" applyFill="1" applyBorder="1" applyAlignment="1">
      <alignment horizontal="left" wrapText="1"/>
    </xf>
    <xf numFmtId="10" fontId="2" fillId="0" borderId="62" xfId="0" applyNumberFormat="1" applyFont="1" applyBorder="1"/>
    <xf numFmtId="166" fontId="2" fillId="0" borderId="63" xfId="0" applyNumberFormat="1" applyFont="1" applyBorder="1"/>
    <xf numFmtId="10" fontId="2" fillId="0" borderId="80" xfId="97" applyNumberFormat="1" applyFont="1" applyBorder="1"/>
    <xf numFmtId="166" fontId="2" fillId="0" borderId="84" xfId="0" applyNumberFormat="1" applyFont="1" applyBorder="1"/>
    <xf numFmtId="0" fontId="45" fillId="0" borderId="60" xfId="92" applyFont="1" applyFill="1" applyBorder="1" applyAlignment="1">
      <alignment horizontal="left" wrapText="1"/>
    </xf>
    <xf numFmtId="0" fontId="45" fillId="0" borderId="61" xfId="92" applyFont="1" applyFill="1" applyBorder="1" applyAlignment="1">
      <alignment horizontal="left" wrapText="1"/>
    </xf>
    <xf numFmtId="9" fontId="2" fillId="0" borderId="4" xfId="97" applyFont="1" applyBorder="1"/>
    <xf numFmtId="9" fontId="2" fillId="0" borderId="66" xfId="0" applyNumberFormat="1" applyFont="1" applyBorder="1" applyAlignment="1">
      <alignment horizontal="right"/>
    </xf>
    <xf numFmtId="9" fontId="2" fillId="0" borderId="70" xfId="97" applyNumberFormat="1" applyFont="1" applyBorder="1"/>
    <xf numFmtId="9" fontId="2" fillId="0" borderId="4" xfId="97" applyNumberFormat="1" applyFont="1" applyBorder="1"/>
    <xf numFmtId="9" fontId="2" fillId="0" borderId="74" xfId="97" applyNumberFormat="1" applyFont="1" applyBorder="1"/>
    <xf numFmtId="9" fontId="2" fillId="0" borderId="80" xfId="97" applyNumberFormat="1" applyFont="1" applyBorder="1"/>
    <xf numFmtId="10" fontId="48" fillId="0" borderId="4" xfId="0" applyNumberFormat="1" applyFont="1" applyFill="1" applyBorder="1"/>
    <xf numFmtId="166" fontId="48" fillId="0" borderId="69" xfId="0" applyNumberFormat="1" applyFont="1" applyFill="1" applyBorder="1"/>
    <xf numFmtId="10" fontId="48" fillId="0" borderId="70" xfId="97" applyNumberFormat="1" applyFont="1" applyFill="1" applyBorder="1"/>
    <xf numFmtId="9" fontId="48" fillId="0" borderId="70" xfId="97" applyNumberFormat="1" applyFont="1" applyFill="1" applyBorder="1"/>
    <xf numFmtId="166" fontId="48" fillId="0" borderId="67" xfId="0" applyNumberFormat="1" applyFont="1" applyFill="1" applyBorder="1"/>
    <xf numFmtId="166" fontId="64" fillId="0" borderId="61" xfId="0" applyNumberFormat="1" applyFont="1" applyFill="1" applyBorder="1"/>
    <xf numFmtId="9" fontId="62" fillId="0" borderId="78" xfId="0" applyNumberFormat="1" applyFont="1" applyBorder="1"/>
    <xf numFmtId="9" fontId="62" fillId="33" borderId="80" xfId="0" applyNumberFormat="1" applyFont="1" applyFill="1" applyBorder="1"/>
    <xf numFmtId="0" fontId="5" fillId="0" borderId="43" xfId="92" applyFont="1" applyBorder="1" applyAlignment="1">
      <alignment horizontal="left"/>
    </xf>
    <xf numFmtId="0" fontId="30" fillId="0" borderId="85" xfId="92" applyFont="1" applyBorder="1" applyAlignment="1"/>
    <xf numFmtId="0" fontId="5" fillId="0" borderId="66" xfId="92" applyFont="1" applyBorder="1" applyAlignment="1"/>
    <xf numFmtId="0" fontId="29" fillId="26" borderId="2" xfId="92" applyFont="1" applyFill="1" applyBorder="1" applyAlignment="1"/>
    <xf numFmtId="0" fontId="29" fillId="26" borderId="3" xfId="92" applyFont="1" applyFill="1" applyBorder="1" applyAlignment="1"/>
    <xf numFmtId="0" fontId="29" fillId="26" borderId="4" xfId="92" applyFont="1" applyFill="1" applyBorder="1" applyAlignment="1"/>
    <xf numFmtId="0" fontId="0" fillId="0" borderId="1" xfId="0" applyBorder="1" applyAlignment="1">
      <alignment horizontal="center"/>
    </xf>
    <xf numFmtId="1" fontId="0" fillId="0" borderId="0" xfId="0" applyNumberFormat="1"/>
    <xf numFmtId="1" fontId="0" fillId="0" borderId="0" xfId="0" applyNumberFormat="1" applyFont="1"/>
    <xf numFmtId="1" fontId="43" fillId="0" borderId="0" xfId="0" applyNumberFormat="1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4" fillId="0" borderId="1" xfId="0" applyFont="1" applyFill="1" applyBorder="1" applyAlignment="1">
      <alignment horizontal="center"/>
    </xf>
    <xf numFmtId="0" fontId="0" fillId="0" borderId="40" xfId="0" applyBorder="1"/>
    <xf numFmtId="0" fontId="0" fillId="0" borderId="50" xfId="0" applyBorder="1"/>
    <xf numFmtId="0" fontId="0" fillId="0" borderId="51" xfId="0" applyBorder="1"/>
    <xf numFmtId="0" fontId="0" fillId="0" borderId="39" xfId="0" applyBorder="1"/>
    <xf numFmtId="0" fontId="0" fillId="0" borderId="0" xfId="0" applyBorder="1"/>
    <xf numFmtId="0" fontId="0" fillId="0" borderId="29" xfId="0" applyBorder="1"/>
    <xf numFmtId="0" fontId="0" fillId="0" borderId="43" xfId="0" applyBorder="1"/>
    <xf numFmtId="0" fontId="0" fillId="0" borderId="85" xfId="0" applyBorder="1"/>
    <xf numFmtId="0" fontId="0" fillId="0" borderId="66" xfId="0" applyBorder="1"/>
    <xf numFmtId="0" fontId="43" fillId="0" borderId="0" xfId="0" applyFont="1" applyAlignment="1">
      <alignment horizontal="right"/>
    </xf>
    <xf numFmtId="0" fontId="43" fillId="0" borderId="2" xfId="0" applyFont="1" applyBorder="1"/>
    <xf numFmtId="0" fontId="43" fillId="0" borderId="4" xfId="0" applyFont="1" applyBorder="1"/>
    <xf numFmtId="166" fontId="27" fillId="2" borderId="2" xfId="92" applyNumberFormat="1" applyFont="1" applyFill="1" applyBorder="1" applyAlignment="1">
      <alignment horizontal="right" vertical="center"/>
    </xf>
    <xf numFmtId="166" fontId="27" fillId="2" borderId="4" xfId="92" applyNumberFormat="1" applyFont="1" applyFill="1" applyBorder="1" applyAlignment="1">
      <alignment horizontal="right" vertical="center"/>
    </xf>
    <xf numFmtId="0" fontId="29" fillId="0" borderId="22" xfId="92" applyFont="1" applyBorder="1" applyAlignment="1">
      <alignment horizontal="center" vertical="center" wrapText="1"/>
    </xf>
    <xf numFmtId="0" fontId="29" fillId="0" borderId="15" xfId="92" applyFont="1" applyBorder="1" applyAlignment="1">
      <alignment horizontal="center" vertical="center" wrapText="1"/>
    </xf>
    <xf numFmtId="0" fontId="29" fillId="0" borderId="21" xfId="92" applyFont="1" applyBorder="1" applyAlignment="1">
      <alignment horizontal="center" vertical="center" wrapText="1"/>
    </xf>
    <xf numFmtId="0" fontId="29" fillId="0" borderId="16" xfId="92" applyFont="1" applyBorder="1" applyAlignment="1">
      <alignment horizontal="center" vertical="center" wrapText="1"/>
    </xf>
    <xf numFmtId="0" fontId="29" fillId="0" borderId="18" xfId="92" applyFont="1" applyBorder="1" applyAlignment="1">
      <alignment horizontal="center" vertical="top" wrapText="1"/>
    </xf>
    <xf numFmtId="0" fontId="29" fillId="0" borderId="19" xfId="92" applyFont="1" applyBorder="1" applyAlignment="1">
      <alignment horizontal="center" vertical="top" wrapText="1"/>
    </xf>
    <xf numFmtId="0" fontId="29" fillId="0" borderId="23" xfId="92" applyFont="1" applyBorder="1" applyAlignment="1">
      <alignment horizontal="center" vertical="top" wrapText="1"/>
    </xf>
    <xf numFmtId="0" fontId="60" fillId="0" borderId="2" xfId="92" applyFont="1" applyBorder="1" applyAlignment="1">
      <alignment horizontal="center" vertical="center"/>
    </xf>
    <xf numFmtId="0" fontId="60" fillId="0" borderId="3" xfId="92" applyFont="1" applyBorder="1" applyAlignment="1">
      <alignment horizontal="center" vertical="center"/>
    </xf>
    <xf numFmtId="0" fontId="60" fillId="0" borderId="4" xfId="92" applyFont="1" applyBorder="1" applyAlignment="1">
      <alignment horizontal="center" vertical="center"/>
    </xf>
    <xf numFmtId="0" fontId="29" fillId="0" borderId="35" xfId="92" applyFont="1" applyBorder="1" applyAlignment="1">
      <alignment horizontal="center" vertical="top" wrapText="1"/>
    </xf>
    <xf numFmtId="0" fontId="29" fillId="0" borderId="33" xfId="92" applyFont="1" applyBorder="1" applyAlignment="1">
      <alignment horizontal="center" vertical="top" wrapText="1"/>
    </xf>
    <xf numFmtId="0" fontId="29" fillId="0" borderId="36" xfId="92" applyFont="1" applyBorder="1" applyAlignment="1">
      <alignment horizontal="center" vertical="top" wrapText="1"/>
    </xf>
    <xf numFmtId="0" fontId="29" fillId="0" borderId="40" xfId="92" applyFont="1" applyBorder="1" applyAlignment="1">
      <alignment horizontal="center" vertical="center" wrapText="1"/>
    </xf>
    <xf numFmtId="0" fontId="29" fillId="0" borderId="43" xfId="92" applyFont="1" applyBorder="1" applyAlignment="1">
      <alignment horizontal="center" vertical="center" wrapText="1"/>
    </xf>
    <xf numFmtId="0" fontId="29" fillId="0" borderId="41" xfId="92" applyFont="1" applyBorder="1" applyAlignment="1">
      <alignment horizontal="center" vertical="center" wrapText="1"/>
    </xf>
    <xf numFmtId="0" fontId="29" fillId="0" borderId="44" xfId="92" applyFont="1" applyBorder="1" applyAlignment="1">
      <alignment horizontal="center" vertical="center" wrapText="1"/>
    </xf>
    <xf numFmtId="0" fontId="29" fillId="0" borderId="42" xfId="92" applyFont="1" applyBorder="1" applyAlignment="1">
      <alignment horizontal="center" vertical="center" wrapText="1"/>
    </xf>
    <xf numFmtId="0" fontId="29" fillId="0" borderId="45" xfId="92" applyFont="1" applyBorder="1" applyAlignment="1">
      <alignment horizontal="center" vertical="center" wrapText="1"/>
    </xf>
    <xf numFmtId="0" fontId="53" fillId="0" borderId="18" xfId="92" applyFont="1" applyBorder="1" applyAlignment="1">
      <alignment horizontal="center" vertical="top" wrapText="1"/>
    </xf>
    <xf numFmtId="0" fontId="53" fillId="0" borderId="19" xfId="92" applyFont="1" applyBorder="1" applyAlignment="1">
      <alignment horizontal="center" vertical="top" wrapText="1"/>
    </xf>
    <xf numFmtId="0" fontId="53" fillId="0" borderId="23" xfId="92" applyFont="1" applyBorder="1" applyAlignment="1">
      <alignment horizontal="center" vertical="top" wrapText="1"/>
    </xf>
    <xf numFmtId="166" fontId="56" fillId="2" borderId="2" xfId="92" applyNumberFormat="1" applyFont="1" applyFill="1" applyBorder="1" applyAlignment="1">
      <alignment horizontal="right" vertical="center"/>
    </xf>
    <xf numFmtId="166" fontId="56" fillId="2" borderId="4" xfId="92" applyNumberFormat="1" applyFont="1" applyFill="1" applyBorder="1" applyAlignment="1">
      <alignment horizontal="right" vertical="center"/>
    </xf>
    <xf numFmtId="0" fontId="53" fillId="0" borderId="38" xfId="92" applyFont="1" applyBorder="1" applyAlignment="1">
      <alignment horizontal="center" vertical="center" wrapText="1"/>
    </xf>
    <xf numFmtId="0" fontId="53" fillId="0" borderId="39" xfId="92" applyFont="1" applyBorder="1" applyAlignment="1">
      <alignment horizontal="center" vertical="center" wrapText="1"/>
    </xf>
    <xf numFmtId="0" fontId="53" fillId="0" borderId="22" xfId="92" applyFont="1" applyBorder="1" applyAlignment="1">
      <alignment horizontal="center" vertical="center" wrapText="1"/>
    </xf>
    <xf numFmtId="0" fontId="53" fillId="0" borderId="15" xfId="92" applyFont="1" applyBorder="1" applyAlignment="1">
      <alignment horizontal="center" vertical="center" wrapText="1"/>
    </xf>
    <xf numFmtId="0" fontId="53" fillId="0" borderId="21" xfId="92" applyFont="1" applyBorder="1" applyAlignment="1">
      <alignment horizontal="center" vertical="center" wrapText="1"/>
    </xf>
    <xf numFmtId="0" fontId="53" fillId="0" borderId="16" xfId="92" applyFont="1" applyBorder="1" applyAlignment="1">
      <alignment horizontal="center" vertical="center" wrapText="1"/>
    </xf>
    <xf numFmtId="0" fontId="29" fillId="0" borderId="38" xfId="92" applyFont="1" applyBorder="1" applyAlignment="1">
      <alignment horizontal="center" vertical="center" wrapText="1"/>
    </xf>
    <xf numFmtId="0" fontId="29" fillId="0" borderId="39" xfId="92" applyFont="1" applyBorder="1" applyAlignment="1">
      <alignment horizontal="center" vertical="center" wrapText="1"/>
    </xf>
    <xf numFmtId="166" fontId="43" fillId="0" borderId="59" xfId="0" applyNumberFormat="1" applyFont="1" applyBorder="1" applyAlignment="1">
      <alignment horizontal="center" vertical="center"/>
    </xf>
    <xf numFmtId="166" fontId="43" fillId="0" borderId="64" xfId="0" applyNumberFormat="1" applyFont="1" applyBorder="1" applyAlignment="1">
      <alignment horizontal="center" vertical="center"/>
    </xf>
    <xf numFmtId="0" fontId="60" fillId="0" borderId="40" xfId="92" applyFont="1" applyBorder="1" applyAlignment="1">
      <alignment horizontal="center" vertical="center"/>
    </xf>
    <xf numFmtId="0" fontId="60" fillId="0" borderId="50" xfId="92" applyFont="1" applyBorder="1" applyAlignment="1">
      <alignment horizontal="center" vertical="center"/>
    </xf>
    <xf numFmtId="0" fontId="60" fillId="0" borderId="51" xfId="92" applyFont="1" applyBorder="1" applyAlignment="1">
      <alignment horizontal="center" vertical="center"/>
    </xf>
    <xf numFmtId="0" fontId="29" fillId="2" borderId="55" xfId="92" applyFont="1" applyFill="1" applyBorder="1" applyAlignment="1">
      <alignment horizontal="center" vertical="center" wrapText="1"/>
    </xf>
    <xf numFmtId="0" fontId="29" fillId="2" borderId="58" xfId="92" applyFont="1" applyFill="1" applyBorder="1" applyAlignment="1">
      <alignment horizontal="center" vertical="center" wrapText="1"/>
    </xf>
    <xf numFmtId="0" fontId="27" fillId="33" borderId="52" xfId="92" applyFont="1" applyFill="1" applyBorder="1" applyAlignment="1">
      <alignment horizontal="center"/>
    </xf>
    <xf numFmtId="0" fontId="27" fillId="33" borderId="53" xfId="92" applyFont="1" applyFill="1" applyBorder="1" applyAlignment="1">
      <alignment horizontal="center"/>
    </xf>
    <xf numFmtId="0" fontId="27" fillId="33" borderId="54" xfId="92" applyFont="1" applyFill="1" applyBorder="1" applyAlignment="1">
      <alignment horizontal="center"/>
    </xf>
    <xf numFmtId="0" fontId="29" fillId="2" borderId="60" xfId="92" applyFont="1" applyFill="1" applyBorder="1" applyAlignment="1">
      <alignment horizontal="center" vertical="center" wrapText="1"/>
    </xf>
    <xf numFmtId="0" fontId="29" fillId="2" borderId="56" xfId="92" applyFont="1" applyFill="1" applyBorder="1" applyAlignment="1">
      <alignment horizontal="center" vertical="center" wrapText="1"/>
    </xf>
    <xf numFmtId="0" fontId="29" fillId="2" borderId="61" xfId="92" applyFont="1" applyFill="1" applyBorder="1" applyAlignment="1">
      <alignment horizontal="center" vertical="center" wrapText="1"/>
    </xf>
    <xf numFmtId="0" fontId="29" fillId="2" borderId="57" xfId="92" applyFont="1" applyFill="1" applyBorder="1" applyAlignment="1">
      <alignment horizontal="center" vertical="center" wrapText="1"/>
    </xf>
    <xf numFmtId="166" fontId="61" fillId="2" borderId="59" xfId="0" applyNumberFormat="1" applyFont="1" applyFill="1" applyBorder="1" applyAlignment="1">
      <alignment horizontal="center" vertical="center"/>
    </xf>
    <xf numFmtId="166" fontId="61" fillId="2" borderId="6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7" fillId="0" borderId="2" xfId="0" applyFont="1" applyBorder="1" applyAlignment="1">
      <alignment horizontal="center"/>
    </xf>
    <xf numFmtId="0" fontId="47" fillId="0" borderId="3" xfId="0" applyFont="1" applyBorder="1" applyAlignment="1">
      <alignment horizontal="center"/>
    </xf>
    <xf numFmtId="0" fontId="47" fillId="0" borderId="4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49" fontId="30" fillId="0" borderId="18" xfId="92" applyNumberFormat="1" applyFont="1" applyBorder="1" applyAlignment="1">
      <alignment horizontal="center"/>
    </xf>
    <xf numFmtId="49" fontId="30" fillId="0" borderId="20" xfId="92" applyNumberFormat="1" applyFont="1" applyBorder="1" applyAlignment="1">
      <alignment horizontal="center"/>
    </xf>
    <xf numFmtId="166" fontId="27" fillId="2" borderId="2" xfId="92" applyNumberFormat="1" applyFont="1" applyFill="1" applyBorder="1" applyAlignment="1">
      <alignment horizontal="center" vertical="center"/>
    </xf>
    <xf numFmtId="166" fontId="27" fillId="2" borderId="3" xfId="92" applyNumberFormat="1" applyFont="1" applyFill="1" applyBorder="1" applyAlignment="1">
      <alignment horizontal="center" vertical="center"/>
    </xf>
    <xf numFmtId="166" fontId="37" fillId="2" borderId="2" xfId="92" applyNumberFormat="1" applyFont="1" applyFill="1" applyBorder="1" applyAlignment="1">
      <alignment horizontal="center" vertical="center"/>
    </xf>
    <xf numFmtId="166" fontId="37" fillId="2" borderId="3" xfId="92" applyNumberFormat="1" applyFont="1" applyFill="1" applyBorder="1" applyAlignment="1">
      <alignment horizontal="center" vertical="center"/>
    </xf>
    <xf numFmtId="0" fontId="29" fillId="0" borderId="1" xfId="92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4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98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Ênfase1 2" xfId="10"/>
    <cellStyle name="20% - Ênfase2 2" xfId="11"/>
    <cellStyle name="20% - Ênfase3 2" xfId="12"/>
    <cellStyle name="20% - Ênfase4 2" xfId="13"/>
    <cellStyle name="20% - Ênfase5 2" xfId="14"/>
    <cellStyle name="20% - Ênfase6 2" xfId="15"/>
    <cellStyle name="40% - Accent1" xfId="16"/>
    <cellStyle name="40% - Accent2" xfId="17"/>
    <cellStyle name="40% - Accent3" xfId="18"/>
    <cellStyle name="40% - Accent4" xfId="19"/>
    <cellStyle name="40% - Accent5" xfId="20"/>
    <cellStyle name="40% - Accent6" xfId="21"/>
    <cellStyle name="40% - Ênfase1 2" xfId="22"/>
    <cellStyle name="40% - Ênfase2 2" xfId="23"/>
    <cellStyle name="40% - Ênfase3 2" xfId="24"/>
    <cellStyle name="40% - Ênfase4 2" xfId="25"/>
    <cellStyle name="40% - Ênfase5 2" xfId="26"/>
    <cellStyle name="40% - Ênfase6 2" xfId="27"/>
    <cellStyle name="60% - Accent1" xfId="28"/>
    <cellStyle name="60% - Accent2" xfId="29"/>
    <cellStyle name="60% - Accent3" xfId="30"/>
    <cellStyle name="60% - Accent4" xfId="31"/>
    <cellStyle name="60% - Accent5" xfId="32"/>
    <cellStyle name="60% - Accent6" xfId="33"/>
    <cellStyle name="60% - Ênfase1 2" xfId="34"/>
    <cellStyle name="60% - Ênfase2 2" xfId="35"/>
    <cellStyle name="60% - Ênfase3 2" xfId="36"/>
    <cellStyle name="60% - Ênfase4 2" xfId="37"/>
    <cellStyle name="60% - Ênfase5 2" xfId="38"/>
    <cellStyle name="60% - Ênfase6 2" xfId="39"/>
    <cellStyle name="Accent1" xfId="40"/>
    <cellStyle name="Accent2" xfId="41"/>
    <cellStyle name="Accent3" xfId="42"/>
    <cellStyle name="Accent4" xfId="43"/>
    <cellStyle name="Accent5" xfId="44"/>
    <cellStyle name="Accent6" xfId="45"/>
    <cellStyle name="Bad" xfId="46"/>
    <cellStyle name="Bom 2" xfId="47"/>
    <cellStyle name="Calculation" xfId="48"/>
    <cellStyle name="Cálculo 2" xfId="49"/>
    <cellStyle name="Célula de Verificação 2" xfId="50"/>
    <cellStyle name="Célula Vinculada 2" xfId="51"/>
    <cellStyle name="Check Cell" xfId="52"/>
    <cellStyle name="Ênfase1 2" xfId="53"/>
    <cellStyle name="Ênfase2 2" xfId="54"/>
    <cellStyle name="Ênfase3 2" xfId="55"/>
    <cellStyle name="Ênfase4 2" xfId="56"/>
    <cellStyle name="Ênfase5 2" xfId="57"/>
    <cellStyle name="Ênfase6 2" xfId="58"/>
    <cellStyle name="Entrada 2" xfId="59"/>
    <cellStyle name="Excel Built-in Normal" xfId="60"/>
    <cellStyle name="Explanatory Text" xfId="61"/>
    <cellStyle name="Good" xfId="62"/>
    <cellStyle name="Heading 1" xfId="63"/>
    <cellStyle name="Heading 2" xfId="64"/>
    <cellStyle name="Heading 3" xfId="65"/>
    <cellStyle name="Heading 4" xfId="66"/>
    <cellStyle name="Incorreto 2" xfId="67"/>
    <cellStyle name="Input" xfId="68"/>
    <cellStyle name="Linked Cell" xfId="69"/>
    <cellStyle name="Moeda" xfId="96" builtinId="4"/>
    <cellStyle name="Moeda 2" xfId="70"/>
    <cellStyle name="Moeda 3" xfId="93"/>
    <cellStyle name="Moeda 3 2" xfId="94"/>
    <cellStyle name="Neutra 2" xfId="71"/>
    <cellStyle name="Neutral" xfId="72"/>
    <cellStyle name="Normal" xfId="0" builtinId="0"/>
    <cellStyle name="Normal 2" xfId="1"/>
    <cellStyle name="Normal 2 2" xfId="2"/>
    <cellStyle name="Normal 2 2 2" xfId="89"/>
    <cellStyle name="Normal 2 3" xfId="90"/>
    <cellStyle name="Normal 3" xfId="3"/>
    <cellStyle name="Normal 3 2" xfId="91"/>
    <cellStyle name="Normal 4" xfId="92"/>
    <cellStyle name="Nota 2" xfId="73"/>
    <cellStyle name="Note" xfId="74"/>
    <cellStyle name="Output" xfId="75"/>
    <cellStyle name="Porcentagem" xfId="97" builtinId="5"/>
    <cellStyle name="Porcentagem 2" xfId="76"/>
    <cellStyle name="Saída 2" xfId="77"/>
    <cellStyle name="Texto de Aviso 2" xfId="79"/>
    <cellStyle name="Texto Explicativo 2" xfId="80"/>
    <cellStyle name="Title" xfId="81"/>
    <cellStyle name="Título 1 2" xfId="83"/>
    <cellStyle name="Título 2 2" xfId="84"/>
    <cellStyle name="Título 3 2" xfId="85"/>
    <cellStyle name="Título 4 2" xfId="86"/>
    <cellStyle name="Título 5" xfId="82"/>
    <cellStyle name="Total 2" xfId="87"/>
    <cellStyle name="Vírgula 2" xfId="78"/>
    <cellStyle name="Vírgula 3" xfId="95"/>
    <cellStyle name="Warning Text" xfId="88"/>
  </cellStyles>
  <dxfs count="0"/>
  <tableStyles count="0" defaultTableStyle="TableStyleMedium2" defaultPivotStyle="PivotStyleLight16"/>
  <colors>
    <mruColors>
      <color rgb="FF7EECF2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</xdr:colOff>
      <xdr:row>3</xdr:row>
      <xdr:rowOff>28575</xdr:rowOff>
    </xdr:from>
    <xdr:to>
      <xdr:col>23</xdr:col>
      <xdr:colOff>542925</xdr:colOff>
      <xdr:row>5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96625" y="676275"/>
          <a:ext cx="5991225" cy="476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38100</xdr:colOff>
      <xdr:row>0</xdr:row>
      <xdr:rowOff>190500</xdr:rowOff>
    </xdr:from>
    <xdr:to>
      <xdr:col>23</xdr:col>
      <xdr:colOff>542925</xdr:colOff>
      <xdr:row>3</xdr:row>
      <xdr:rowOff>19050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096625" y="190500"/>
          <a:ext cx="5991225" cy="476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S\SMS_PROJETOS\OBRAS%20EMERGENCIAIS\UPA%20COHAB%20C\OR&#199;AMENTO\FALS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S\SMS_PROJETOS\ARQUITETURA\ARQUITETURA\_USFs%20Cohab%20C%20e%20S&#227;o%20Vicente\_2019\or&#231;amento\VERS&#213;ES\PO%20-%20S&#227;o%20Vicente_R0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MS/SMS_PROJETOS/ARQUITETURA/ARQUITETURA/_USFs%20Cohab%20C%20e%20S&#227;o%20Vicente/_2019/or&#231;amento/VERS&#213;ES/PO%20-%20S&#227;o%20Vicente_R0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S\SMS_PROJETOS\OBRAS%20EMERGENCIAIS\UPA%20COHAB%20C\OR&#199;AMENTO\Refer&#234;ncia%2012-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definedNames>
      <definedName name="linhaSINAPIxls" refersTo="='PO'!$X1" sheetId="2"/>
    </definedNames>
    <sheetDataSet>
      <sheetData sheetId="0" refreshError="1">
        <row r="32">
          <cell r="G32" t="str">
            <v>GRAVATAÍ/RS</v>
          </cell>
        </row>
        <row r="37">
          <cell r="T37" t="str">
            <v>BDI 1</v>
          </cell>
          <cell r="U37" t="str">
            <v>BDI 2</v>
          </cell>
          <cell r="V37" t="str">
            <v>BDI 3</v>
          </cell>
          <cell r="W37" t="str">
            <v>BDI 4</v>
          </cell>
          <cell r="X37" t="str">
            <v>BDI 5</v>
          </cell>
        </row>
        <row r="38">
          <cell r="A38">
            <v>43070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"/>
      <sheetName val="BDI"/>
      <sheetName val="COMPOSIÇÕES"/>
      <sheetName val="COTAÇÕES"/>
      <sheetName val="CRONOGRAMA FF"/>
    </sheetNames>
    <sheetDataSet>
      <sheetData sheetId="0"/>
      <sheetData sheetId="1">
        <row r="22">
          <cell r="J22">
            <v>3.6499999999999998E-2</v>
          </cell>
        </row>
        <row r="25">
          <cell r="F25">
            <v>0.21199999999999999</v>
          </cell>
        </row>
      </sheetData>
      <sheetData sheetId="2">
        <row r="7">
          <cell r="G7">
            <v>125.300318</v>
          </cell>
        </row>
        <row r="21">
          <cell r="G21">
            <v>112.49583799999999</v>
          </cell>
        </row>
        <row r="36">
          <cell r="G36">
            <v>1415.9417030000002</v>
          </cell>
        </row>
        <row r="46">
          <cell r="B46">
            <v>4</v>
          </cell>
          <cell r="G46">
            <v>101.29941300000002</v>
          </cell>
        </row>
        <row r="53">
          <cell r="B53">
            <v>5</v>
          </cell>
          <cell r="G53">
            <v>81.936199999999985</v>
          </cell>
        </row>
        <row r="61">
          <cell r="B61">
            <v>6</v>
          </cell>
          <cell r="G61">
            <v>64.417599999999993</v>
          </cell>
        </row>
      </sheetData>
      <sheetData sheetId="3">
        <row r="18">
          <cell r="G18">
            <v>1961.2908415841584</v>
          </cell>
        </row>
        <row r="24">
          <cell r="B24">
            <v>2</v>
          </cell>
          <cell r="G24">
            <v>101.51125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O"/>
      <sheetName val="BDI"/>
      <sheetName val="COMPOSIÇÕES"/>
      <sheetName val="COTAÇÕES"/>
      <sheetName val="CRONOGRAMA FF"/>
    </sheetNames>
    <sheetDataSet>
      <sheetData sheetId="0">
        <row r="15">
          <cell r="I15">
            <v>52647.534719999996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utorial"/>
      <sheetName val="Banco"/>
      <sheetName val="Composições"/>
      <sheetName val="Cotações"/>
      <sheetName val="Relatórios"/>
      <sheetName val="Busca"/>
    </sheetNames>
    <sheetDataSet>
      <sheetData sheetId="0"/>
      <sheetData sheetId="1"/>
      <sheetData sheetId="2"/>
      <sheetData sheetId="3"/>
      <sheetData sheetId="4">
        <row r="1">
          <cell r="A1" t="str">
            <v>DADOS DOS RELATÓRIOS IMPORTADOS</v>
          </cell>
        </row>
        <row r="5">
          <cell r="A5" t="str">
            <v>TIPO</v>
          </cell>
        </row>
        <row r="6">
          <cell r="A6" t="str">
            <v>SINAPI-I</v>
          </cell>
        </row>
        <row r="7">
          <cell r="A7" t="str">
            <v>SINAPI</v>
          </cell>
        </row>
        <row r="8">
          <cell r="A8" t="str">
            <v>SINAPI</v>
          </cell>
        </row>
        <row r="9">
          <cell r="A9" t="str">
            <v>SINAPI-I</v>
          </cell>
        </row>
        <row r="10">
          <cell r="A10" t="str">
            <v>SINAPI-I</v>
          </cell>
        </row>
        <row r="11">
          <cell r="A11" t="str">
            <v>SINAPI-I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162"/>
  <sheetViews>
    <sheetView tabSelected="1" topLeftCell="A85" workbookViewId="0">
      <selection activeCell="P136" sqref="P136"/>
    </sheetView>
  </sheetViews>
  <sheetFormatPr defaultColWidth="14.42578125" defaultRowHeight="15.75" customHeight="1"/>
  <cols>
    <col min="1" max="1" width="7.85546875" style="3" customWidth="1"/>
    <col min="2" max="2" width="12.28515625" style="3" customWidth="1"/>
    <col min="3" max="3" width="9.85546875" style="3" customWidth="1"/>
    <col min="4" max="4" width="55.28515625" style="3" customWidth="1"/>
    <col min="5" max="5" width="10.7109375" style="3" customWidth="1"/>
    <col min="6" max="6" width="10.7109375" style="3" hidden="1" customWidth="1"/>
    <col min="7" max="9" width="10.7109375" style="3" customWidth="1"/>
    <col min="10" max="16384" width="14.42578125" style="3"/>
  </cols>
  <sheetData>
    <row r="1" spans="1:9" ht="15" customHeight="1">
      <c r="A1" s="21" t="s">
        <v>329</v>
      </c>
      <c r="B1" s="28"/>
      <c r="C1" s="29"/>
      <c r="D1" s="28"/>
      <c r="E1" s="27" t="s">
        <v>330</v>
      </c>
      <c r="F1" s="28"/>
      <c r="G1" s="28"/>
      <c r="H1" s="28"/>
      <c r="I1" s="28"/>
    </row>
    <row r="2" spans="1:9" ht="15" customHeight="1">
      <c r="A2" s="22" t="s">
        <v>340</v>
      </c>
      <c r="B2" s="30"/>
      <c r="C2" s="31"/>
      <c r="D2" s="60"/>
      <c r="E2" s="59" t="s">
        <v>331</v>
      </c>
      <c r="F2" s="60"/>
      <c r="G2" s="60"/>
      <c r="H2" s="60"/>
      <c r="I2" s="60"/>
    </row>
    <row r="3" spans="1:9" ht="5.25" customHeight="1">
      <c r="A3" s="61"/>
      <c r="B3" s="61"/>
      <c r="C3" s="61"/>
      <c r="D3" s="4"/>
      <c r="E3" s="4"/>
      <c r="F3" s="4"/>
      <c r="G3" s="4"/>
      <c r="H3" s="4"/>
      <c r="I3" s="4"/>
    </row>
    <row r="4" spans="1:9" s="5" customFormat="1" ht="24" customHeight="1">
      <c r="A4" s="380" t="s">
        <v>3</v>
      </c>
      <c r="B4" s="380" t="s">
        <v>4</v>
      </c>
      <c r="C4" s="380" t="s">
        <v>5</v>
      </c>
      <c r="D4" s="380" t="s">
        <v>6</v>
      </c>
      <c r="E4" s="380" t="s">
        <v>2</v>
      </c>
      <c r="F4" s="382" t="s">
        <v>7</v>
      </c>
      <c r="G4" s="384" t="s">
        <v>335</v>
      </c>
      <c r="H4" s="385"/>
      <c r="I4" s="386"/>
    </row>
    <row r="5" spans="1:9" s="5" customFormat="1" ht="22.5">
      <c r="A5" s="381"/>
      <c r="B5" s="381"/>
      <c r="C5" s="381"/>
      <c r="D5" s="381"/>
      <c r="E5" s="381"/>
      <c r="F5" s="383"/>
      <c r="G5" s="93" t="s">
        <v>346</v>
      </c>
      <c r="H5" s="64" t="s">
        <v>334</v>
      </c>
      <c r="I5" s="65" t="s">
        <v>135</v>
      </c>
    </row>
    <row r="6" spans="1:9" s="5" customFormat="1" ht="12.75">
      <c r="A6" s="33">
        <v>1</v>
      </c>
      <c r="B6" s="33"/>
      <c r="C6" s="33"/>
      <c r="D6" s="33" t="s">
        <v>15</v>
      </c>
      <c r="E6" s="79"/>
      <c r="F6" s="80"/>
      <c r="G6" s="81"/>
      <c r="H6" s="80"/>
      <c r="I6" s="82">
        <f>I7</f>
        <v>47988.6</v>
      </c>
    </row>
    <row r="7" spans="1:9" s="5" customFormat="1" ht="12.75">
      <c r="A7" s="35" t="s">
        <v>23</v>
      </c>
      <c r="B7" s="36"/>
      <c r="C7" s="37"/>
      <c r="D7" s="38" t="s">
        <v>235</v>
      </c>
      <c r="E7" s="32"/>
      <c r="F7" s="9"/>
      <c r="G7" s="11"/>
      <c r="H7" s="8"/>
      <c r="I7" s="87">
        <f>SUM(I8:I9)</f>
        <v>47988.6</v>
      </c>
    </row>
    <row r="8" spans="1:9" s="5" customFormat="1" ht="12.75">
      <c r="A8" s="41" t="s">
        <v>233</v>
      </c>
      <c r="B8" s="42" t="s">
        <v>0</v>
      </c>
      <c r="C8" s="43">
        <v>90778</v>
      </c>
      <c r="D8" s="44" t="s">
        <v>231</v>
      </c>
      <c r="E8" s="43" t="s">
        <v>10</v>
      </c>
      <c r="F8" s="45">
        <v>99.6</v>
      </c>
      <c r="G8" s="46">
        <v>110.03</v>
      </c>
      <c r="H8" s="47">
        <f>2*22*3</f>
        <v>132</v>
      </c>
      <c r="I8" s="48">
        <f>G8*H8</f>
        <v>14523.960000000001</v>
      </c>
    </row>
    <row r="9" spans="1:9" s="5" customFormat="1" ht="12.75">
      <c r="A9" s="41" t="s">
        <v>234</v>
      </c>
      <c r="B9" s="42" t="s">
        <v>0</v>
      </c>
      <c r="C9" s="43">
        <v>90780</v>
      </c>
      <c r="D9" s="44" t="s">
        <v>232</v>
      </c>
      <c r="E9" s="43" t="s">
        <v>10</v>
      </c>
      <c r="F9" s="45">
        <v>57.37</v>
      </c>
      <c r="G9" s="46">
        <v>63.38</v>
      </c>
      <c r="H9" s="47">
        <f>8*22*3</f>
        <v>528</v>
      </c>
      <c r="I9" s="48">
        <f>G9*H9</f>
        <v>33464.639999999999</v>
      </c>
    </row>
    <row r="10" spans="1:9" s="5" customFormat="1" ht="12.75">
      <c r="A10" s="33">
        <v>2</v>
      </c>
      <c r="B10" s="33"/>
      <c r="C10" s="33"/>
      <c r="D10" s="33" t="s">
        <v>14</v>
      </c>
      <c r="E10" s="79"/>
      <c r="F10" s="80"/>
      <c r="G10" s="81"/>
      <c r="H10" s="80"/>
      <c r="I10" s="82">
        <f>SUM(I11,I14)</f>
        <v>48634.65</v>
      </c>
    </row>
    <row r="11" spans="1:9" s="5" customFormat="1" ht="12.75">
      <c r="A11" s="35" t="s">
        <v>24</v>
      </c>
      <c r="B11" s="36"/>
      <c r="C11" s="37"/>
      <c r="D11" s="38" t="s">
        <v>38</v>
      </c>
      <c r="E11" s="32"/>
      <c r="F11" s="9"/>
      <c r="G11" s="11"/>
      <c r="H11" s="8"/>
      <c r="I11" s="87">
        <f>SUM(I12:I13)</f>
        <v>12659.01</v>
      </c>
    </row>
    <row r="12" spans="1:9" s="5" customFormat="1" ht="22.5">
      <c r="A12" s="41" t="s">
        <v>39</v>
      </c>
      <c r="B12" s="42" t="s">
        <v>0</v>
      </c>
      <c r="C12" s="43">
        <v>93212</v>
      </c>
      <c r="D12" s="53" t="s">
        <v>17</v>
      </c>
      <c r="E12" s="43" t="s">
        <v>16</v>
      </c>
      <c r="F12" s="45">
        <v>678.84</v>
      </c>
      <c r="G12" s="46">
        <v>749.94</v>
      </c>
      <c r="H12" s="47">
        <v>4</v>
      </c>
      <c r="I12" s="48">
        <f>G12*H12</f>
        <v>2999.76</v>
      </c>
    </row>
    <row r="13" spans="1:9" s="5" customFormat="1" ht="22.5">
      <c r="A13" s="41" t="s">
        <v>40</v>
      </c>
      <c r="B13" s="42" t="s">
        <v>0</v>
      </c>
      <c r="C13" s="43">
        <v>93584</v>
      </c>
      <c r="D13" s="53" t="s">
        <v>18</v>
      </c>
      <c r="E13" s="43" t="s">
        <v>16</v>
      </c>
      <c r="F13" s="45">
        <v>582.89</v>
      </c>
      <c r="G13" s="46">
        <v>643.95000000000005</v>
      </c>
      <c r="H13" s="47">
        <v>15</v>
      </c>
      <c r="I13" s="48">
        <f>G13*H13</f>
        <v>9659.25</v>
      </c>
    </row>
    <row r="14" spans="1:9" s="5" customFormat="1" ht="12.75">
      <c r="A14" s="35" t="s">
        <v>25</v>
      </c>
      <c r="B14" s="36"/>
      <c r="C14" s="37"/>
      <c r="D14" s="38" t="s">
        <v>238</v>
      </c>
      <c r="E14" s="37"/>
      <c r="F14" s="39"/>
      <c r="G14" s="40"/>
      <c r="H14" s="51"/>
      <c r="I14" s="52">
        <f>SUM(I15:I16)</f>
        <v>35975.64</v>
      </c>
    </row>
    <row r="15" spans="1:9" s="5" customFormat="1" ht="12.75">
      <c r="A15" s="41" t="s">
        <v>236</v>
      </c>
      <c r="B15" s="42" t="s">
        <v>0</v>
      </c>
      <c r="C15" s="43">
        <v>98459</v>
      </c>
      <c r="D15" s="53" t="s">
        <v>19</v>
      </c>
      <c r="E15" s="43" t="s">
        <v>16</v>
      </c>
      <c r="F15" s="45">
        <v>86.51</v>
      </c>
      <c r="G15" s="46">
        <v>95.57</v>
      </c>
      <c r="H15" s="47">
        <v>360</v>
      </c>
      <c r="I15" s="46">
        <f>G15*H15</f>
        <v>34405.199999999997</v>
      </c>
    </row>
    <row r="16" spans="1:9" s="5" customFormat="1" ht="12.75">
      <c r="A16" s="41" t="s">
        <v>237</v>
      </c>
      <c r="B16" s="42" t="s">
        <v>0</v>
      </c>
      <c r="C16" s="43" t="s">
        <v>53</v>
      </c>
      <c r="D16" s="53" t="s">
        <v>20</v>
      </c>
      <c r="E16" s="43" t="s">
        <v>16</v>
      </c>
      <c r="F16" s="45">
        <v>236.93</v>
      </c>
      <c r="G16" s="46">
        <v>261.74</v>
      </c>
      <c r="H16" s="47">
        <v>6</v>
      </c>
      <c r="I16" s="46">
        <f>G16*H16</f>
        <v>1570.44</v>
      </c>
    </row>
    <row r="17" spans="1:9" s="5" customFormat="1" ht="12.75">
      <c r="A17" s="33">
        <v>3</v>
      </c>
      <c r="B17" s="33"/>
      <c r="C17" s="33"/>
      <c r="D17" s="54" t="s">
        <v>21</v>
      </c>
      <c r="E17" s="79"/>
      <c r="F17" s="80"/>
      <c r="G17" s="81"/>
      <c r="H17" s="80"/>
      <c r="I17" s="82">
        <f>I18</f>
        <v>1920.4744000000001</v>
      </c>
    </row>
    <row r="18" spans="1:9" s="5" customFormat="1" ht="12.75">
      <c r="A18" s="35" t="s">
        <v>26</v>
      </c>
      <c r="B18" s="36"/>
      <c r="C18" s="37"/>
      <c r="D18" s="38" t="s">
        <v>240</v>
      </c>
      <c r="E18" s="32"/>
      <c r="F18" s="9"/>
      <c r="G18" s="11"/>
      <c r="H18" s="8"/>
      <c r="I18" s="87">
        <f>SUM(I19)</f>
        <v>1920.4744000000001</v>
      </c>
    </row>
    <row r="19" spans="1:9" s="5" customFormat="1" ht="12.75">
      <c r="A19" s="41" t="s">
        <v>239</v>
      </c>
      <c r="B19" s="42" t="s">
        <v>0</v>
      </c>
      <c r="C19" s="43" t="s">
        <v>136</v>
      </c>
      <c r="D19" s="53" t="s">
        <v>137</v>
      </c>
      <c r="E19" s="43" t="s">
        <v>16</v>
      </c>
      <c r="F19" s="46">
        <v>1.38</v>
      </c>
      <c r="G19" s="46">
        <v>1.52</v>
      </c>
      <c r="H19" s="47">
        <v>1263.47</v>
      </c>
      <c r="I19" s="46">
        <f>G19*H19</f>
        <v>1920.4744000000001</v>
      </c>
    </row>
    <row r="20" spans="1:9" s="5" customFormat="1" ht="12.75">
      <c r="A20" s="33">
        <v>4</v>
      </c>
      <c r="B20" s="33"/>
      <c r="C20" s="33"/>
      <c r="D20" s="54" t="s">
        <v>50</v>
      </c>
      <c r="E20" s="79"/>
      <c r="F20" s="80"/>
      <c r="G20" s="81"/>
      <c r="H20" s="80"/>
      <c r="I20" s="82">
        <f>SUM(I21,I27)</f>
        <v>84022.888800000001</v>
      </c>
    </row>
    <row r="21" spans="1:9" s="5" customFormat="1" ht="12.75">
      <c r="A21" s="35" t="s">
        <v>27</v>
      </c>
      <c r="B21" s="36"/>
      <c r="C21" s="37"/>
      <c r="D21" s="38" t="s">
        <v>68</v>
      </c>
      <c r="E21" s="32"/>
      <c r="F21" s="9"/>
      <c r="G21" s="11"/>
      <c r="H21" s="8"/>
      <c r="I21" s="87">
        <f>SUM(I22:I26)</f>
        <v>76535.968800000002</v>
      </c>
    </row>
    <row r="22" spans="1:9" s="5" customFormat="1" ht="22.5">
      <c r="A22" s="41" t="s">
        <v>69</v>
      </c>
      <c r="B22" s="42" t="s">
        <v>0</v>
      </c>
      <c r="C22" s="43">
        <v>96359</v>
      </c>
      <c r="D22" s="53" t="s">
        <v>48</v>
      </c>
      <c r="E22" s="43" t="s">
        <v>16</v>
      </c>
      <c r="F22" s="45">
        <v>99.65</v>
      </c>
      <c r="G22" s="46">
        <v>110.09</v>
      </c>
      <c r="H22" s="47">
        <v>389.61</v>
      </c>
      <c r="I22" s="46">
        <f>G22*H22</f>
        <v>42892.164900000003</v>
      </c>
    </row>
    <row r="23" spans="1:9" s="5" customFormat="1" ht="22.5">
      <c r="A23" s="41" t="s">
        <v>70</v>
      </c>
      <c r="B23" s="43" t="s">
        <v>22</v>
      </c>
      <c r="C23" s="43">
        <v>1</v>
      </c>
      <c r="D23" s="44" t="s">
        <v>138</v>
      </c>
      <c r="E23" s="43" t="s">
        <v>16</v>
      </c>
      <c r="F23" s="45">
        <f>[2]COMPOSIÇÕES!G7</f>
        <v>125.300318</v>
      </c>
      <c r="G23" s="46">
        <v>138.41999999999999</v>
      </c>
      <c r="H23" s="47">
        <v>26.19</v>
      </c>
      <c r="I23" s="46">
        <f>G23*H23</f>
        <v>3625.2197999999999</v>
      </c>
    </row>
    <row r="24" spans="1:9" s="5" customFormat="1" ht="22.5">
      <c r="A24" s="41" t="s">
        <v>71</v>
      </c>
      <c r="B24" s="43" t="s">
        <v>22</v>
      </c>
      <c r="C24" s="43">
        <v>2</v>
      </c>
      <c r="D24" s="44" t="s">
        <v>49</v>
      </c>
      <c r="E24" s="43" t="s">
        <v>16</v>
      </c>
      <c r="F24" s="45">
        <f>[2]COMPOSIÇÕES!G21</f>
        <v>112.49583799999999</v>
      </c>
      <c r="G24" s="46">
        <v>124.28</v>
      </c>
      <c r="H24" s="47">
        <v>109.89</v>
      </c>
      <c r="I24" s="46">
        <f>G24*H24</f>
        <v>13657.129199999999</v>
      </c>
    </row>
    <row r="25" spans="1:9" s="5" customFormat="1" ht="12.75">
      <c r="A25" s="41" t="s">
        <v>72</v>
      </c>
      <c r="B25" s="42" t="s">
        <v>0</v>
      </c>
      <c r="C25" s="43">
        <v>96372</v>
      </c>
      <c r="D25" s="53" t="s">
        <v>29</v>
      </c>
      <c r="E25" s="43" t="s">
        <v>16</v>
      </c>
      <c r="F25" s="45">
        <v>27.81</v>
      </c>
      <c r="G25" s="46">
        <v>30.71</v>
      </c>
      <c r="H25" s="47">
        <f>SUM(H22:H24)</f>
        <v>525.69000000000005</v>
      </c>
      <c r="I25" s="46">
        <f>G25*H25</f>
        <v>16143.939900000001</v>
      </c>
    </row>
    <row r="26" spans="1:9" s="5" customFormat="1" ht="12.75">
      <c r="A26" s="41" t="s">
        <v>73</v>
      </c>
      <c r="B26" s="42" t="s">
        <v>0</v>
      </c>
      <c r="C26" s="43">
        <v>96373</v>
      </c>
      <c r="D26" s="53" t="s">
        <v>30</v>
      </c>
      <c r="E26" s="43" t="s">
        <v>13</v>
      </c>
      <c r="F26" s="45">
        <v>7.73</v>
      </c>
      <c r="G26" s="46">
        <v>8.5299999999999994</v>
      </c>
      <c r="H26" s="47">
        <v>25.5</v>
      </c>
      <c r="I26" s="46">
        <f>G26*H26</f>
        <v>217.51499999999999</v>
      </c>
    </row>
    <row r="27" spans="1:9" s="5" customFormat="1" ht="12.75">
      <c r="A27" s="35" t="s">
        <v>28</v>
      </c>
      <c r="B27" s="36"/>
      <c r="C27" s="37"/>
      <c r="D27" s="38" t="s">
        <v>242</v>
      </c>
      <c r="E27" s="32"/>
      <c r="F27" s="9"/>
      <c r="G27" s="11"/>
      <c r="H27" s="8"/>
      <c r="I27" s="87">
        <f>SUM(I28:I28)</f>
        <v>7486.92</v>
      </c>
    </row>
    <row r="28" spans="1:9" s="5" customFormat="1" ht="22.5">
      <c r="A28" s="41" t="s">
        <v>241</v>
      </c>
      <c r="B28" s="42" t="s">
        <v>0</v>
      </c>
      <c r="C28" s="43" t="s">
        <v>309</v>
      </c>
      <c r="D28" s="44" t="s">
        <v>310</v>
      </c>
      <c r="E28" s="43" t="s">
        <v>16</v>
      </c>
      <c r="F28" s="45">
        <v>322.72000000000003</v>
      </c>
      <c r="G28" s="46">
        <v>356.52</v>
      </c>
      <c r="H28" s="47">
        <v>21</v>
      </c>
      <c r="I28" s="46">
        <f>G28*H28</f>
        <v>7486.92</v>
      </c>
    </row>
    <row r="29" spans="1:9" s="5" customFormat="1" ht="12.75">
      <c r="A29" s="33">
        <v>5</v>
      </c>
      <c r="B29" s="33"/>
      <c r="C29" s="33"/>
      <c r="D29" s="54" t="s">
        <v>31</v>
      </c>
      <c r="E29" s="79"/>
      <c r="F29" s="80"/>
      <c r="G29" s="81"/>
      <c r="H29" s="80"/>
      <c r="I29" s="82">
        <f>SUM(I30,I34,I38,I40)</f>
        <v>89260.665999999997</v>
      </c>
    </row>
    <row r="30" spans="1:9" s="10" customFormat="1" ht="12.75">
      <c r="A30" s="35" t="s">
        <v>32</v>
      </c>
      <c r="B30" s="36"/>
      <c r="C30" s="37"/>
      <c r="D30" s="38" t="s">
        <v>78</v>
      </c>
      <c r="E30" s="32"/>
      <c r="F30" s="9"/>
      <c r="G30" s="11"/>
      <c r="H30" s="8"/>
      <c r="I30" s="87">
        <f>SUM(I31:I33)</f>
        <v>13011.273999999999</v>
      </c>
    </row>
    <row r="31" spans="1:9" s="5" customFormat="1" ht="33.75">
      <c r="A31" s="41" t="s">
        <v>75</v>
      </c>
      <c r="B31" s="42" t="s">
        <v>22</v>
      </c>
      <c r="C31" s="43">
        <f>[2]COMPOSIÇÕES!B53</f>
        <v>5</v>
      </c>
      <c r="D31" s="53" t="s">
        <v>324</v>
      </c>
      <c r="E31" s="43" t="s">
        <v>16</v>
      </c>
      <c r="F31" s="45">
        <f>[2]COMPOSIÇÕES!G53</f>
        <v>81.936199999999985</v>
      </c>
      <c r="G31" s="46">
        <v>93.83</v>
      </c>
      <c r="H31" s="47">
        <v>100</v>
      </c>
      <c r="I31" s="46">
        <f>G31*H31</f>
        <v>9383</v>
      </c>
    </row>
    <row r="32" spans="1:9" s="5" customFormat="1" ht="12.75">
      <c r="A32" s="41" t="s">
        <v>76</v>
      </c>
      <c r="B32" s="42" t="s">
        <v>0</v>
      </c>
      <c r="C32" s="43">
        <v>88649</v>
      </c>
      <c r="D32" s="53" t="s">
        <v>308</v>
      </c>
      <c r="E32" s="43" t="s">
        <v>13</v>
      </c>
      <c r="F32" s="45">
        <v>5.12</v>
      </c>
      <c r="G32" s="46">
        <v>5.65</v>
      </c>
      <c r="H32" s="47">
        <v>500</v>
      </c>
      <c r="I32" s="46">
        <f>G32*H32</f>
        <v>2825</v>
      </c>
    </row>
    <row r="33" spans="1:9" s="5" customFormat="1" ht="12.75">
      <c r="A33" s="41" t="s">
        <v>77</v>
      </c>
      <c r="B33" s="42" t="s">
        <v>0</v>
      </c>
      <c r="C33" s="43">
        <v>98689</v>
      </c>
      <c r="D33" s="53" t="s">
        <v>120</v>
      </c>
      <c r="E33" s="43" t="s">
        <v>13</v>
      </c>
      <c r="F33" s="45">
        <v>87.61</v>
      </c>
      <c r="G33" s="46">
        <v>96.78</v>
      </c>
      <c r="H33" s="47">
        <v>8.3000000000000007</v>
      </c>
      <c r="I33" s="46">
        <f>G33*H33</f>
        <v>803.27400000000011</v>
      </c>
    </row>
    <row r="34" spans="1:9" s="10" customFormat="1" ht="12.75">
      <c r="A34" s="35" t="s">
        <v>196</v>
      </c>
      <c r="B34" s="36"/>
      <c r="C34" s="37"/>
      <c r="D34" s="38" t="s">
        <v>82</v>
      </c>
      <c r="E34" s="32"/>
      <c r="F34" s="9"/>
      <c r="G34" s="46"/>
      <c r="H34" s="8"/>
      <c r="I34" s="87">
        <f>SUM(I35:I37)</f>
        <v>37082.688999999998</v>
      </c>
    </row>
    <row r="35" spans="1:9" s="5" customFormat="1" ht="12.75">
      <c r="A35" s="41" t="s">
        <v>245</v>
      </c>
      <c r="B35" s="42" t="s">
        <v>12</v>
      </c>
      <c r="C35" s="43">
        <v>1996</v>
      </c>
      <c r="D35" s="53" t="s">
        <v>205</v>
      </c>
      <c r="E35" s="43" t="s">
        <v>16</v>
      </c>
      <c r="F35" s="45">
        <v>415.18</v>
      </c>
      <c r="G35" s="46">
        <v>458.67</v>
      </c>
      <c r="H35" s="47">
        <v>0.7</v>
      </c>
      <c r="I35" s="46">
        <f>G35*H35</f>
        <v>321.06900000000002</v>
      </c>
    </row>
    <row r="36" spans="1:9" s="5" customFormat="1" ht="22.5">
      <c r="A36" s="41" t="s">
        <v>311</v>
      </c>
      <c r="B36" s="42" t="s">
        <v>22</v>
      </c>
      <c r="C36" s="43">
        <f>[2]COMPOSIÇÕES!B61</f>
        <v>6</v>
      </c>
      <c r="D36" s="44" t="s">
        <v>325</v>
      </c>
      <c r="E36" s="43" t="s">
        <v>16</v>
      </c>
      <c r="F36" s="45">
        <f>[2]COMPOSIÇÕES!G61</f>
        <v>64.417599999999993</v>
      </c>
      <c r="G36" s="46">
        <v>71.16</v>
      </c>
      <c r="H36" s="47">
        <v>400</v>
      </c>
      <c r="I36" s="46">
        <f>G36*H36</f>
        <v>28464</v>
      </c>
    </row>
    <row r="37" spans="1:9" s="5" customFormat="1" ht="12.75">
      <c r="A37" s="41" t="s">
        <v>312</v>
      </c>
      <c r="B37" s="43" t="s">
        <v>1</v>
      </c>
      <c r="C37" s="43">
        <f>[2]COTAÇÕES!B24</f>
        <v>2</v>
      </c>
      <c r="D37" s="44" t="s">
        <v>251</v>
      </c>
      <c r="E37" s="43" t="s">
        <v>13</v>
      </c>
      <c r="F37" s="45">
        <f>[2]COTAÇÕES!G24</f>
        <v>101.51125</v>
      </c>
      <c r="G37" s="46">
        <v>112.13</v>
      </c>
      <c r="H37" s="47">
        <v>74</v>
      </c>
      <c r="I37" s="46">
        <f>G37*H37</f>
        <v>8297.619999999999</v>
      </c>
    </row>
    <row r="38" spans="1:9" s="10" customFormat="1" ht="12.75">
      <c r="A38" s="35" t="s">
        <v>33</v>
      </c>
      <c r="B38" s="36"/>
      <c r="C38" s="37"/>
      <c r="D38" s="38" t="s">
        <v>34</v>
      </c>
      <c r="E38" s="32"/>
      <c r="F38" s="9"/>
      <c r="G38" s="46"/>
      <c r="H38" s="8"/>
      <c r="I38" s="87">
        <f>SUM(I39)</f>
        <v>10590.800000000001</v>
      </c>
    </row>
    <row r="39" spans="1:9" s="5" customFormat="1" ht="12.75">
      <c r="A39" s="41" t="s">
        <v>246</v>
      </c>
      <c r="B39" s="42" t="s">
        <v>0</v>
      </c>
      <c r="C39" s="43">
        <v>96114</v>
      </c>
      <c r="D39" s="53" t="s">
        <v>35</v>
      </c>
      <c r="E39" s="43" t="s">
        <v>16</v>
      </c>
      <c r="F39" s="45">
        <v>66.12</v>
      </c>
      <c r="G39" s="46">
        <v>73.040000000000006</v>
      </c>
      <c r="H39" s="47">
        <v>145</v>
      </c>
      <c r="I39" s="46">
        <f>G39*H39</f>
        <v>10590.800000000001</v>
      </c>
    </row>
    <row r="40" spans="1:9" s="10" customFormat="1" ht="12.75">
      <c r="A40" s="35" t="s">
        <v>313</v>
      </c>
      <c r="B40" s="36"/>
      <c r="C40" s="37"/>
      <c r="D40" s="38" t="s">
        <v>87</v>
      </c>
      <c r="E40" s="32"/>
      <c r="F40" s="9"/>
      <c r="G40" s="46"/>
      <c r="H40" s="8"/>
      <c r="I40" s="87">
        <f>SUM(I41)</f>
        <v>28575.903000000002</v>
      </c>
    </row>
    <row r="41" spans="1:9" s="5" customFormat="1" ht="16.5" customHeight="1">
      <c r="A41" s="41" t="s">
        <v>314</v>
      </c>
      <c r="B41" s="43" t="s">
        <v>22</v>
      </c>
      <c r="C41" s="43">
        <f>[2]COMPOSIÇÕES!B46</f>
        <v>4</v>
      </c>
      <c r="D41" s="44" t="s">
        <v>252</v>
      </c>
      <c r="E41" s="43" t="s">
        <v>16</v>
      </c>
      <c r="F41" s="45">
        <f>[2]COMPOSIÇÕES!G46</f>
        <v>101.29941300000002</v>
      </c>
      <c r="G41" s="46">
        <v>111.9</v>
      </c>
      <c r="H41" s="47">
        <v>255.37</v>
      </c>
      <c r="I41" s="46">
        <f>G41*H41</f>
        <v>28575.903000000002</v>
      </c>
    </row>
    <row r="42" spans="1:9" s="5" customFormat="1" ht="12.75">
      <c r="A42" s="33">
        <v>6</v>
      </c>
      <c r="B42" s="33"/>
      <c r="C42" s="33"/>
      <c r="D42" s="54" t="s">
        <v>36</v>
      </c>
      <c r="E42" s="79"/>
      <c r="F42" s="80"/>
      <c r="G42" s="81"/>
      <c r="H42" s="80"/>
      <c r="I42" s="82">
        <f>SUM(I43,I48,I51,I54)</f>
        <v>48315.277399999999</v>
      </c>
    </row>
    <row r="43" spans="1:9" s="5" customFormat="1" ht="12.75">
      <c r="A43" s="35" t="s">
        <v>37</v>
      </c>
      <c r="B43" s="36"/>
      <c r="C43" s="37"/>
      <c r="D43" s="38" t="s">
        <v>82</v>
      </c>
      <c r="E43" s="32"/>
      <c r="F43" s="9"/>
      <c r="G43" s="11"/>
      <c r="H43" s="8"/>
      <c r="I43" s="87">
        <f>SUM(I44:I47)</f>
        <v>23886.94</v>
      </c>
    </row>
    <row r="44" spans="1:9" s="5" customFormat="1" ht="17.25" customHeight="1">
      <c r="A44" s="41" t="s">
        <v>79</v>
      </c>
      <c r="B44" s="42" t="s">
        <v>0</v>
      </c>
      <c r="C44" s="43">
        <v>95626</v>
      </c>
      <c r="D44" s="44" t="s">
        <v>43</v>
      </c>
      <c r="E44" s="43" t="s">
        <v>16</v>
      </c>
      <c r="F44" s="45">
        <v>12.95</v>
      </c>
      <c r="G44" s="46">
        <v>14.3</v>
      </c>
      <c r="H44" s="47">
        <v>290</v>
      </c>
      <c r="I44" s="46">
        <f>G44*H44</f>
        <v>4147</v>
      </c>
    </row>
    <row r="45" spans="1:9" s="5" customFormat="1" ht="12.75">
      <c r="A45" s="41" t="s">
        <v>80</v>
      </c>
      <c r="B45" s="42" t="s">
        <v>0</v>
      </c>
      <c r="C45" s="43">
        <v>88497</v>
      </c>
      <c r="D45" s="44" t="s">
        <v>98</v>
      </c>
      <c r="E45" s="43" t="s">
        <v>16</v>
      </c>
      <c r="F45" s="45">
        <v>12.61</v>
      </c>
      <c r="G45" s="46">
        <v>13.93</v>
      </c>
      <c r="H45" s="47">
        <v>453</v>
      </c>
      <c r="I45" s="46">
        <f>G45*H45</f>
        <v>6310.29</v>
      </c>
    </row>
    <row r="46" spans="1:9" s="5" customFormat="1" ht="12.75">
      <c r="A46" s="41" t="s">
        <v>81</v>
      </c>
      <c r="B46" s="42" t="s">
        <v>0</v>
      </c>
      <c r="C46" s="43">
        <v>88495</v>
      </c>
      <c r="D46" s="44" t="s">
        <v>99</v>
      </c>
      <c r="E46" s="43" t="s">
        <v>16</v>
      </c>
      <c r="F46" s="45">
        <v>9.1300000000000008</v>
      </c>
      <c r="G46" s="46">
        <v>10.08</v>
      </c>
      <c r="H46" s="47">
        <v>735</v>
      </c>
      <c r="I46" s="46">
        <f>G46*H46</f>
        <v>7408.8</v>
      </c>
    </row>
    <row r="47" spans="1:9" s="5" customFormat="1" ht="22.5">
      <c r="A47" s="41" t="s">
        <v>321</v>
      </c>
      <c r="B47" s="42" t="s">
        <v>0</v>
      </c>
      <c r="C47" s="43">
        <v>88489</v>
      </c>
      <c r="D47" s="53" t="s">
        <v>46</v>
      </c>
      <c r="E47" s="43" t="s">
        <v>16</v>
      </c>
      <c r="F47" s="45">
        <v>12.25</v>
      </c>
      <c r="G47" s="46">
        <v>13.53</v>
      </c>
      <c r="H47" s="47">
        <v>445</v>
      </c>
      <c r="I47" s="46">
        <f>G47*H47</f>
        <v>6020.8499999999995</v>
      </c>
    </row>
    <row r="48" spans="1:9" s="10" customFormat="1" ht="12.75">
      <c r="A48" s="35" t="s">
        <v>41</v>
      </c>
      <c r="B48" s="36"/>
      <c r="C48" s="37"/>
      <c r="D48" s="38" t="s">
        <v>34</v>
      </c>
      <c r="E48" s="32"/>
      <c r="F48" s="9"/>
      <c r="G48" s="46"/>
      <c r="H48" s="8"/>
      <c r="I48" s="87">
        <f>SUM(I49:I50)</f>
        <v>16136.560000000001</v>
      </c>
    </row>
    <row r="49" spans="1:10" s="5" customFormat="1" ht="12.75">
      <c r="A49" s="41" t="s">
        <v>83</v>
      </c>
      <c r="B49" s="42" t="s">
        <v>0</v>
      </c>
      <c r="C49" s="43">
        <v>88494</v>
      </c>
      <c r="D49" s="53" t="s">
        <v>44</v>
      </c>
      <c r="E49" s="43" t="s">
        <v>16</v>
      </c>
      <c r="F49" s="45">
        <v>16.41</v>
      </c>
      <c r="G49" s="46">
        <v>18.12</v>
      </c>
      <c r="H49" s="47">
        <v>484</v>
      </c>
      <c r="I49" s="46">
        <f>G49*H49</f>
        <v>8770.08</v>
      </c>
    </row>
    <row r="50" spans="1:10" s="5" customFormat="1" ht="22.5">
      <c r="A50" s="41" t="s">
        <v>84</v>
      </c>
      <c r="B50" s="42" t="s">
        <v>0</v>
      </c>
      <c r="C50" s="43">
        <v>88488</v>
      </c>
      <c r="D50" s="53" t="s">
        <v>47</v>
      </c>
      <c r="E50" s="43" t="s">
        <v>16</v>
      </c>
      <c r="F50" s="45">
        <v>13.78</v>
      </c>
      <c r="G50" s="46">
        <v>15.22</v>
      </c>
      <c r="H50" s="47">
        <v>484</v>
      </c>
      <c r="I50" s="46">
        <f>G50*H50</f>
        <v>7366.4800000000005</v>
      </c>
    </row>
    <row r="51" spans="1:10" s="10" customFormat="1" ht="12.75">
      <c r="A51" s="35" t="s">
        <v>42</v>
      </c>
      <c r="B51" s="36"/>
      <c r="C51" s="37"/>
      <c r="D51" s="38" t="s">
        <v>93</v>
      </c>
      <c r="E51" s="32"/>
      <c r="F51" s="9"/>
      <c r="G51" s="46"/>
      <c r="H51" s="8"/>
      <c r="I51" s="87">
        <f>SUM(I52:I53)</f>
        <v>7123.9884999999995</v>
      </c>
    </row>
    <row r="52" spans="1:10" s="5" customFormat="1" ht="12.75">
      <c r="A52" s="41" t="s">
        <v>85</v>
      </c>
      <c r="B52" s="42" t="s">
        <v>0</v>
      </c>
      <c r="C52" s="43">
        <v>84679</v>
      </c>
      <c r="D52" s="53" t="s">
        <v>51</v>
      </c>
      <c r="E52" s="43" t="s">
        <v>16</v>
      </c>
      <c r="F52" s="45">
        <v>18.55</v>
      </c>
      <c r="G52" s="46">
        <v>20.48</v>
      </c>
      <c r="H52" s="47">
        <v>152.44999999999999</v>
      </c>
      <c r="I52" s="46">
        <f>G52*H52</f>
        <v>3122.1759999999999</v>
      </c>
      <c r="J52" s="203"/>
    </row>
    <row r="53" spans="1:10" s="5" customFormat="1" ht="22.5">
      <c r="A53" s="41" t="s">
        <v>322</v>
      </c>
      <c r="B53" s="42" t="s">
        <v>0</v>
      </c>
      <c r="C53" s="43" t="s">
        <v>52</v>
      </c>
      <c r="D53" s="53" t="s">
        <v>54</v>
      </c>
      <c r="E53" s="43" t="s">
        <v>16</v>
      </c>
      <c r="F53" s="45">
        <v>23.77</v>
      </c>
      <c r="G53" s="46">
        <v>26.25</v>
      </c>
      <c r="H53" s="47">
        <v>152.44999999999999</v>
      </c>
      <c r="I53" s="46">
        <f>G53*H53</f>
        <v>4001.8124999999995</v>
      </c>
    </row>
    <row r="54" spans="1:10" s="10" customFormat="1" ht="12.75">
      <c r="A54" s="35" t="s">
        <v>45</v>
      </c>
      <c r="B54" s="36"/>
      <c r="C54" s="37"/>
      <c r="D54" s="38" t="s">
        <v>95</v>
      </c>
      <c r="E54" s="32"/>
      <c r="F54" s="9"/>
      <c r="G54" s="46"/>
      <c r="H54" s="8"/>
      <c r="I54" s="87">
        <f>SUM(I55:I56)</f>
        <v>1167.7889</v>
      </c>
    </row>
    <row r="55" spans="1:10" s="5" customFormat="1" ht="12.75">
      <c r="A55" s="41" t="s">
        <v>86</v>
      </c>
      <c r="B55" s="42" t="s">
        <v>0</v>
      </c>
      <c r="C55" s="43" t="s">
        <v>55</v>
      </c>
      <c r="D55" s="53" t="s">
        <v>56</v>
      </c>
      <c r="E55" s="43" t="s">
        <v>16</v>
      </c>
      <c r="F55" s="45">
        <v>19.329999999999998</v>
      </c>
      <c r="G55" s="46">
        <v>21.34</v>
      </c>
      <c r="H55" s="47">
        <v>23.46</v>
      </c>
      <c r="I55" s="46">
        <f>G55*H55</f>
        <v>500.63640000000004</v>
      </c>
    </row>
    <row r="56" spans="1:10" s="5" customFormat="1" ht="12.75">
      <c r="A56" s="41" t="s">
        <v>323</v>
      </c>
      <c r="B56" s="42" t="s">
        <v>0</v>
      </c>
      <c r="C56" s="43" t="s">
        <v>57</v>
      </c>
      <c r="D56" s="53" t="s">
        <v>58</v>
      </c>
      <c r="E56" s="43" t="s">
        <v>16</v>
      </c>
      <c r="F56" s="45">
        <v>25.75</v>
      </c>
      <c r="G56" s="46">
        <v>28.45</v>
      </c>
      <c r="H56" s="47">
        <v>23.45</v>
      </c>
      <c r="I56" s="46">
        <f>G56*H56</f>
        <v>667.15249999999992</v>
      </c>
    </row>
    <row r="57" spans="1:10" s="5" customFormat="1" ht="12.75">
      <c r="A57" s="33">
        <v>7</v>
      </c>
      <c r="B57" s="33"/>
      <c r="C57" s="33"/>
      <c r="D57" s="54" t="s">
        <v>62</v>
      </c>
      <c r="E57" s="79"/>
      <c r="F57" s="80"/>
      <c r="G57" s="81"/>
      <c r="H57" s="80"/>
      <c r="I57" s="82">
        <f>SUM(I58,I69,I71)</f>
        <v>57011.048800000004</v>
      </c>
    </row>
    <row r="58" spans="1:10" s="5" customFormat="1" ht="12.75">
      <c r="A58" s="35" t="s">
        <v>59</v>
      </c>
      <c r="B58" s="36"/>
      <c r="C58" s="37"/>
      <c r="D58" s="38" t="s">
        <v>74</v>
      </c>
      <c r="E58" s="32"/>
      <c r="F58" s="9"/>
      <c r="G58" s="11"/>
      <c r="H58" s="8"/>
      <c r="I58" s="87">
        <f>SUM(I59:I68)</f>
        <v>56033.911600000007</v>
      </c>
    </row>
    <row r="59" spans="1:10" s="5" customFormat="1" ht="12.75">
      <c r="A59" s="41" t="s">
        <v>88</v>
      </c>
      <c r="B59" s="42" t="s">
        <v>0</v>
      </c>
      <c r="C59" s="43">
        <v>90844</v>
      </c>
      <c r="D59" s="53" t="s">
        <v>139</v>
      </c>
      <c r="E59" s="2" t="s">
        <v>11</v>
      </c>
      <c r="F59" s="45">
        <v>867.73</v>
      </c>
      <c r="G59" s="46">
        <v>958.62</v>
      </c>
      <c r="H59" s="47">
        <v>19</v>
      </c>
      <c r="I59" s="46">
        <f t="shared" ref="I59:I68" si="0">G59*H59</f>
        <v>18213.78</v>
      </c>
    </row>
    <row r="60" spans="1:10" s="5" customFormat="1" ht="12.75">
      <c r="A60" s="41" t="s">
        <v>89</v>
      </c>
      <c r="B60" s="42" t="s">
        <v>0</v>
      </c>
      <c r="C60" s="43">
        <v>90843</v>
      </c>
      <c r="D60" s="53" t="s">
        <v>140</v>
      </c>
      <c r="E60" s="2" t="s">
        <v>11</v>
      </c>
      <c r="F60" s="45">
        <v>835.78</v>
      </c>
      <c r="G60" s="46">
        <v>923.33</v>
      </c>
      <c r="H60" s="47">
        <v>17</v>
      </c>
      <c r="I60" s="46">
        <f t="shared" si="0"/>
        <v>15696.61</v>
      </c>
    </row>
    <row r="61" spans="1:10" s="5" customFormat="1" ht="22.5">
      <c r="A61" s="41" t="s">
        <v>90</v>
      </c>
      <c r="B61" s="42" t="s">
        <v>12</v>
      </c>
      <c r="C61" s="42">
        <v>3625</v>
      </c>
      <c r="D61" s="53" t="s">
        <v>197</v>
      </c>
      <c r="E61" s="2" t="s">
        <v>11</v>
      </c>
      <c r="F61" s="45">
        <v>604.65</v>
      </c>
      <c r="G61" s="46">
        <v>667.98</v>
      </c>
      <c r="H61" s="47">
        <v>10</v>
      </c>
      <c r="I61" s="46">
        <f t="shared" si="0"/>
        <v>6679.8</v>
      </c>
    </row>
    <row r="62" spans="1:10" s="5" customFormat="1" ht="22.5">
      <c r="A62" s="41" t="s">
        <v>91</v>
      </c>
      <c r="B62" s="42" t="s">
        <v>12</v>
      </c>
      <c r="C62" s="43">
        <v>8375</v>
      </c>
      <c r="D62" s="53" t="s">
        <v>198</v>
      </c>
      <c r="E62" s="2" t="s">
        <v>11</v>
      </c>
      <c r="F62" s="45">
        <v>833.03</v>
      </c>
      <c r="G62" s="46">
        <v>920.28</v>
      </c>
      <c r="H62" s="47">
        <v>1</v>
      </c>
      <c r="I62" s="46">
        <f t="shared" si="0"/>
        <v>920.28</v>
      </c>
    </row>
    <row r="63" spans="1:10" s="5" customFormat="1" ht="22.5">
      <c r="A63" s="41" t="s">
        <v>315</v>
      </c>
      <c r="B63" s="42" t="s">
        <v>12</v>
      </c>
      <c r="C63" s="43">
        <v>11836</v>
      </c>
      <c r="D63" s="53" t="s">
        <v>199</v>
      </c>
      <c r="E63" s="2" t="s">
        <v>11</v>
      </c>
      <c r="F63" s="45">
        <v>822.46</v>
      </c>
      <c r="G63" s="46">
        <v>908.61</v>
      </c>
      <c r="H63" s="47">
        <v>1</v>
      </c>
      <c r="I63" s="46">
        <f t="shared" si="0"/>
        <v>908.61</v>
      </c>
    </row>
    <row r="64" spans="1:10" s="5" customFormat="1" ht="12.75">
      <c r="A64" s="41" t="s">
        <v>316</v>
      </c>
      <c r="B64" s="42" t="s">
        <v>12</v>
      </c>
      <c r="C64" s="43">
        <v>11948</v>
      </c>
      <c r="D64" s="53" t="s">
        <v>200</v>
      </c>
      <c r="E64" s="43" t="s">
        <v>16</v>
      </c>
      <c r="F64" s="45">
        <v>310.32</v>
      </c>
      <c r="G64" s="46">
        <v>342.81</v>
      </c>
      <c r="H64" s="47">
        <v>7.44</v>
      </c>
      <c r="I64" s="46">
        <f t="shared" si="0"/>
        <v>2550.5064000000002</v>
      </c>
    </row>
    <row r="65" spans="1:9" s="5" customFormat="1" ht="22.5">
      <c r="A65" s="41" t="s">
        <v>317</v>
      </c>
      <c r="B65" s="42" t="s">
        <v>12</v>
      </c>
      <c r="C65" s="43">
        <v>8970</v>
      </c>
      <c r="D65" s="53" t="s">
        <v>201</v>
      </c>
      <c r="E65" s="43" t="s">
        <v>16</v>
      </c>
      <c r="F65" s="45">
        <v>54.46</v>
      </c>
      <c r="G65" s="46">
        <v>60.16</v>
      </c>
      <c r="H65" s="47">
        <v>5.04</v>
      </c>
      <c r="I65" s="46">
        <f t="shared" si="0"/>
        <v>303.20639999999997</v>
      </c>
    </row>
    <row r="66" spans="1:9" s="5" customFormat="1" ht="12.75">
      <c r="A66" s="41" t="s">
        <v>318</v>
      </c>
      <c r="B66" s="42" t="s">
        <v>0</v>
      </c>
      <c r="C66" s="43" t="s">
        <v>63</v>
      </c>
      <c r="D66" s="53" t="s">
        <v>141</v>
      </c>
      <c r="E66" s="43" t="s">
        <v>16</v>
      </c>
      <c r="F66" s="45">
        <v>515.16999999999996</v>
      </c>
      <c r="G66" s="46">
        <v>569.13</v>
      </c>
      <c r="H66" s="56">
        <v>1.68</v>
      </c>
      <c r="I66" s="46">
        <f t="shared" si="0"/>
        <v>956.13839999999993</v>
      </c>
    </row>
    <row r="67" spans="1:9" s="5" customFormat="1" ht="22.5">
      <c r="A67" s="41" t="s">
        <v>319</v>
      </c>
      <c r="B67" s="42" t="s">
        <v>0</v>
      </c>
      <c r="C67" s="43" t="s">
        <v>64</v>
      </c>
      <c r="D67" s="53" t="s">
        <v>65</v>
      </c>
      <c r="E67" s="43" t="s">
        <v>16</v>
      </c>
      <c r="F67" s="45">
        <v>488.35</v>
      </c>
      <c r="G67" s="46">
        <v>539.5</v>
      </c>
      <c r="H67" s="47">
        <v>11.61</v>
      </c>
      <c r="I67" s="46">
        <f t="shared" si="0"/>
        <v>6263.5949999999993</v>
      </c>
    </row>
    <row r="68" spans="1:9" s="5" customFormat="1" ht="22.5">
      <c r="A68" s="41" t="s">
        <v>320</v>
      </c>
      <c r="B68" s="42" t="s">
        <v>12</v>
      </c>
      <c r="C68" s="43">
        <v>11556</v>
      </c>
      <c r="D68" s="44" t="s">
        <v>202</v>
      </c>
      <c r="E68" s="43" t="s">
        <v>16</v>
      </c>
      <c r="F68" s="45">
        <v>355</v>
      </c>
      <c r="G68" s="46">
        <v>392.18</v>
      </c>
      <c r="H68" s="47">
        <v>9.0299999999999994</v>
      </c>
      <c r="I68" s="46">
        <f t="shared" si="0"/>
        <v>3541.3853999999997</v>
      </c>
    </row>
    <row r="69" spans="1:9" s="5" customFormat="1" ht="12.75">
      <c r="A69" s="35" t="s">
        <v>60</v>
      </c>
      <c r="B69" s="36"/>
      <c r="C69" s="37"/>
      <c r="D69" s="38" t="s">
        <v>243</v>
      </c>
      <c r="E69" s="32"/>
      <c r="F69" s="9"/>
      <c r="G69" s="46"/>
      <c r="H69" s="8"/>
      <c r="I69" s="87">
        <f>I70</f>
        <v>477.42719999999997</v>
      </c>
    </row>
    <row r="70" spans="1:9" s="5" customFormat="1" ht="22.5">
      <c r="A70" s="41" t="s">
        <v>92</v>
      </c>
      <c r="B70" s="42" t="s">
        <v>12</v>
      </c>
      <c r="C70" s="43">
        <v>1766</v>
      </c>
      <c r="D70" s="44" t="s">
        <v>204</v>
      </c>
      <c r="E70" s="43" t="s">
        <v>16</v>
      </c>
      <c r="F70" s="45">
        <v>450.17</v>
      </c>
      <c r="G70" s="46">
        <v>497.32</v>
      </c>
      <c r="H70" s="47">
        <v>0.96</v>
      </c>
      <c r="I70" s="46">
        <f>G70*H70</f>
        <v>477.42719999999997</v>
      </c>
    </row>
    <row r="71" spans="1:9" s="5" customFormat="1" ht="12.75">
      <c r="A71" s="35" t="s">
        <v>61</v>
      </c>
      <c r="B71" s="36"/>
      <c r="C71" s="37"/>
      <c r="D71" s="38" t="s">
        <v>244</v>
      </c>
      <c r="E71" s="32"/>
      <c r="F71" s="9"/>
      <c r="G71" s="46"/>
      <c r="H71" s="8"/>
      <c r="I71" s="87">
        <f>I72</f>
        <v>499.71</v>
      </c>
    </row>
    <row r="72" spans="1:9" s="5" customFormat="1" ht="12.75">
      <c r="A72" s="41" t="s">
        <v>94</v>
      </c>
      <c r="B72" s="42" t="s">
        <v>12</v>
      </c>
      <c r="C72" s="43">
        <v>3731</v>
      </c>
      <c r="D72" s="44" t="s">
        <v>203</v>
      </c>
      <c r="E72" s="43" t="s">
        <v>16</v>
      </c>
      <c r="F72" s="45">
        <v>452.33</v>
      </c>
      <c r="G72" s="46">
        <v>499.71</v>
      </c>
      <c r="H72" s="47">
        <v>1</v>
      </c>
      <c r="I72" s="46">
        <f>G72*H72</f>
        <v>499.71</v>
      </c>
    </row>
    <row r="73" spans="1:9" s="12" customFormat="1" ht="12.75">
      <c r="A73" s="57">
        <v>8</v>
      </c>
      <c r="B73" s="34"/>
      <c r="C73" s="34"/>
      <c r="D73" s="57" t="s">
        <v>142</v>
      </c>
      <c r="E73" s="79"/>
      <c r="F73" s="80"/>
      <c r="G73" s="81"/>
      <c r="H73" s="80"/>
      <c r="I73" s="82">
        <f>SUM(I74,I89,I94,I113,I118)</f>
        <v>78903.090000000011</v>
      </c>
    </row>
    <row r="74" spans="1:9" s="5" customFormat="1" ht="12.75">
      <c r="A74" s="35" t="s">
        <v>96</v>
      </c>
      <c r="B74" s="36"/>
      <c r="C74" s="37"/>
      <c r="D74" s="38" t="s">
        <v>143</v>
      </c>
      <c r="E74" s="32"/>
      <c r="F74" s="9"/>
      <c r="G74" s="11"/>
      <c r="H74" s="8"/>
      <c r="I74" s="87">
        <f>SUM(I75:I88)</f>
        <v>8343.64</v>
      </c>
    </row>
    <row r="75" spans="1:9" s="5" customFormat="1" ht="22.5">
      <c r="A75" s="41" t="s">
        <v>122</v>
      </c>
      <c r="B75" s="42" t="s">
        <v>0</v>
      </c>
      <c r="C75" s="43">
        <v>95635</v>
      </c>
      <c r="D75" s="53" t="s">
        <v>121</v>
      </c>
      <c r="E75" s="2" t="s">
        <v>11</v>
      </c>
      <c r="F75" s="45">
        <v>123.87</v>
      </c>
      <c r="G75" s="46">
        <v>136.83000000000001</v>
      </c>
      <c r="H75" s="47">
        <v>1</v>
      </c>
      <c r="I75" s="46">
        <f t="shared" ref="I75:I88" si="1">G75*H75</f>
        <v>136.83000000000001</v>
      </c>
    </row>
    <row r="76" spans="1:9" s="5" customFormat="1" ht="12.75">
      <c r="A76" s="41" t="s">
        <v>124</v>
      </c>
      <c r="B76" s="42" t="s">
        <v>0</v>
      </c>
      <c r="C76" s="43">
        <v>95675</v>
      </c>
      <c r="D76" s="53" t="s">
        <v>123</v>
      </c>
      <c r="E76" s="2" t="s">
        <v>11</v>
      </c>
      <c r="F76" s="45">
        <v>180.69</v>
      </c>
      <c r="G76" s="46">
        <v>199.62</v>
      </c>
      <c r="H76" s="47">
        <v>1</v>
      </c>
      <c r="I76" s="46">
        <f t="shared" si="1"/>
        <v>199.62</v>
      </c>
    </row>
    <row r="77" spans="1:9" s="5" customFormat="1" ht="12.75">
      <c r="A77" s="41" t="s">
        <v>126</v>
      </c>
      <c r="B77" s="42" t="s">
        <v>0</v>
      </c>
      <c r="C77" s="43">
        <v>95676</v>
      </c>
      <c r="D77" s="53" t="s">
        <v>125</v>
      </c>
      <c r="E77" s="2" t="s">
        <v>11</v>
      </c>
      <c r="F77" s="45">
        <v>69.05</v>
      </c>
      <c r="G77" s="46">
        <v>76.27</v>
      </c>
      <c r="H77" s="47">
        <v>1</v>
      </c>
      <c r="I77" s="46">
        <f t="shared" si="1"/>
        <v>76.27</v>
      </c>
    </row>
    <row r="78" spans="1:9" s="5" customFormat="1" ht="33.75">
      <c r="A78" s="41" t="s">
        <v>144</v>
      </c>
      <c r="B78" s="42" t="s">
        <v>9</v>
      </c>
      <c r="C78" s="43">
        <v>96</v>
      </c>
      <c r="D78" s="53" t="s">
        <v>145</v>
      </c>
      <c r="E78" s="2" t="s">
        <v>11</v>
      </c>
      <c r="F78" s="45">
        <v>7.5</v>
      </c>
      <c r="G78" s="46">
        <v>8.2799999999999994</v>
      </c>
      <c r="H78" s="47">
        <v>8</v>
      </c>
      <c r="I78" s="46">
        <f t="shared" si="1"/>
        <v>66.239999999999995</v>
      </c>
    </row>
    <row r="79" spans="1:9" s="5" customFormat="1" ht="12.75">
      <c r="A79" s="41" t="s">
        <v>146</v>
      </c>
      <c r="B79" s="42" t="s">
        <v>0</v>
      </c>
      <c r="C79" s="43">
        <v>85195</v>
      </c>
      <c r="D79" s="53" t="s">
        <v>147</v>
      </c>
      <c r="E79" s="2" t="s">
        <v>11</v>
      </c>
      <c r="F79" s="45">
        <v>74.64</v>
      </c>
      <c r="G79" s="46">
        <v>82.45</v>
      </c>
      <c r="H79" s="47">
        <v>4</v>
      </c>
      <c r="I79" s="46">
        <f t="shared" si="1"/>
        <v>329.8</v>
      </c>
    </row>
    <row r="80" spans="1:9" s="5" customFormat="1" ht="22.5">
      <c r="A80" s="41" t="s">
        <v>148</v>
      </c>
      <c r="B80" s="42" t="s">
        <v>0</v>
      </c>
      <c r="C80" s="43">
        <v>91784</v>
      </c>
      <c r="D80" s="44" t="s">
        <v>149</v>
      </c>
      <c r="E80" s="43" t="s">
        <v>13</v>
      </c>
      <c r="F80" s="45">
        <v>33.17</v>
      </c>
      <c r="G80" s="46">
        <v>36.64</v>
      </c>
      <c r="H80" s="47">
        <v>35</v>
      </c>
      <c r="I80" s="46">
        <f t="shared" si="1"/>
        <v>1282.4000000000001</v>
      </c>
    </row>
    <row r="81" spans="1:9" s="5" customFormat="1" ht="22.5">
      <c r="A81" s="41" t="s">
        <v>150</v>
      </c>
      <c r="B81" s="42" t="s">
        <v>0</v>
      </c>
      <c r="C81" s="43">
        <v>91785</v>
      </c>
      <c r="D81" s="44" t="s">
        <v>151</v>
      </c>
      <c r="E81" s="43" t="s">
        <v>13</v>
      </c>
      <c r="F81" s="45">
        <v>32.659999999999997</v>
      </c>
      <c r="G81" s="46">
        <v>36.07</v>
      </c>
      <c r="H81" s="47">
        <v>70</v>
      </c>
      <c r="I81" s="46">
        <f t="shared" si="1"/>
        <v>2524.9</v>
      </c>
    </row>
    <row r="82" spans="1:9" s="5" customFormat="1" ht="22.5">
      <c r="A82" s="41" t="s">
        <v>152</v>
      </c>
      <c r="B82" s="42" t="s">
        <v>0</v>
      </c>
      <c r="C82" s="43">
        <v>91787</v>
      </c>
      <c r="D82" s="44" t="s">
        <v>153</v>
      </c>
      <c r="E82" s="43" t="s">
        <v>13</v>
      </c>
      <c r="F82" s="45">
        <v>21.14</v>
      </c>
      <c r="G82" s="46">
        <v>23.34</v>
      </c>
      <c r="H82" s="47">
        <v>12.5</v>
      </c>
      <c r="I82" s="46">
        <f t="shared" si="1"/>
        <v>291.75</v>
      </c>
    </row>
    <row r="83" spans="1:9" s="5" customFormat="1" ht="22.5">
      <c r="A83" s="41" t="s">
        <v>154</v>
      </c>
      <c r="B83" s="42" t="s">
        <v>0</v>
      </c>
      <c r="C83" s="43">
        <v>94494</v>
      </c>
      <c r="D83" s="53" t="s">
        <v>155</v>
      </c>
      <c r="E83" s="2" t="s">
        <v>11</v>
      </c>
      <c r="F83" s="45">
        <v>67.8</v>
      </c>
      <c r="G83" s="46">
        <v>74.900000000000006</v>
      </c>
      <c r="H83" s="47">
        <v>8</v>
      </c>
      <c r="I83" s="46">
        <f t="shared" si="1"/>
        <v>599.20000000000005</v>
      </c>
    </row>
    <row r="84" spans="1:9" s="5" customFormat="1" ht="22.5">
      <c r="A84" s="41" t="s">
        <v>156</v>
      </c>
      <c r="B84" s="42" t="s">
        <v>0</v>
      </c>
      <c r="C84" s="43">
        <v>89986</v>
      </c>
      <c r="D84" s="53" t="s">
        <v>157</v>
      </c>
      <c r="E84" s="2" t="s">
        <v>11</v>
      </c>
      <c r="F84" s="45">
        <v>94.32</v>
      </c>
      <c r="G84" s="46">
        <v>104.2</v>
      </c>
      <c r="H84" s="47">
        <v>5</v>
      </c>
      <c r="I84" s="46">
        <f t="shared" si="1"/>
        <v>521</v>
      </c>
    </row>
    <row r="85" spans="1:9" s="5" customFormat="1" ht="22.5">
      <c r="A85" s="41" t="s">
        <v>158</v>
      </c>
      <c r="B85" s="42" t="s">
        <v>0</v>
      </c>
      <c r="C85" s="43">
        <v>89987</v>
      </c>
      <c r="D85" s="53" t="s">
        <v>159</v>
      </c>
      <c r="E85" s="2" t="s">
        <v>11</v>
      </c>
      <c r="F85" s="45">
        <v>105.11</v>
      </c>
      <c r="G85" s="46">
        <v>116.11</v>
      </c>
      <c r="H85" s="47">
        <v>15</v>
      </c>
      <c r="I85" s="46">
        <f t="shared" si="1"/>
        <v>1741.65</v>
      </c>
    </row>
    <row r="86" spans="1:9" s="5" customFormat="1" ht="22.5">
      <c r="A86" s="41" t="s">
        <v>160</v>
      </c>
      <c r="B86" s="42" t="s">
        <v>0</v>
      </c>
      <c r="C86" s="43">
        <v>89984</v>
      </c>
      <c r="D86" s="53" t="s">
        <v>161</v>
      </c>
      <c r="E86" s="2" t="s">
        <v>11</v>
      </c>
      <c r="F86" s="45">
        <v>96.79</v>
      </c>
      <c r="G86" s="46">
        <v>106.92</v>
      </c>
      <c r="H86" s="47">
        <v>2</v>
      </c>
      <c r="I86" s="46">
        <f t="shared" si="1"/>
        <v>213.84</v>
      </c>
    </row>
    <row r="87" spans="1:9" s="5" customFormat="1" ht="22.5">
      <c r="A87" s="41" t="s">
        <v>162</v>
      </c>
      <c r="B87" s="42" t="s">
        <v>0</v>
      </c>
      <c r="C87" s="43">
        <v>89985</v>
      </c>
      <c r="D87" s="53" t="s">
        <v>163</v>
      </c>
      <c r="E87" s="2" t="s">
        <v>11</v>
      </c>
      <c r="F87" s="45">
        <v>99.71</v>
      </c>
      <c r="G87" s="46">
        <v>110.15</v>
      </c>
      <c r="H87" s="47">
        <v>1</v>
      </c>
      <c r="I87" s="46">
        <f t="shared" si="1"/>
        <v>110.15</v>
      </c>
    </row>
    <row r="88" spans="1:9" s="5" customFormat="1" ht="22.5">
      <c r="A88" s="41" t="s">
        <v>164</v>
      </c>
      <c r="B88" s="42" t="s">
        <v>0</v>
      </c>
      <c r="C88" s="43">
        <v>99635</v>
      </c>
      <c r="D88" s="53" t="s">
        <v>165</v>
      </c>
      <c r="E88" s="2" t="s">
        <v>11</v>
      </c>
      <c r="F88" s="45">
        <v>226.29</v>
      </c>
      <c r="G88" s="46">
        <v>249.99</v>
      </c>
      <c r="H88" s="47">
        <v>1</v>
      </c>
      <c r="I88" s="46">
        <f t="shared" si="1"/>
        <v>249.99</v>
      </c>
    </row>
    <row r="89" spans="1:9" s="5" customFormat="1" ht="12.75">
      <c r="A89" s="35" t="s">
        <v>102</v>
      </c>
      <c r="B89" s="36"/>
      <c r="C89" s="37"/>
      <c r="D89" s="38" t="s">
        <v>166</v>
      </c>
      <c r="E89" s="32"/>
      <c r="F89" s="9"/>
      <c r="G89" s="46"/>
      <c r="H89" s="8"/>
      <c r="I89" s="87">
        <f>SUM(I90:I93)</f>
        <v>20994.699999999997</v>
      </c>
    </row>
    <row r="90" spans="1:9" s="5" customFormat="1" ht="22.5">
      <c r="A90" s="41" t="s">
        <v>108</v>
      </c>
      <c r="B90" s="42" t="s">
        <v>0</v>
      </c>
      <c r="C90" s="43">
        <v>94228</v>
      </c>
      <c r="D90" s="53" t="s">
        <v>167</v>
      </c>
      <c r="E90" s="43" t="s">
        <v>13</v>
      </c>
      <c r="F90" s="45">
        <v>57.82</v>
      </c>
      <c r="G90" s="46">
        <v>63.87</v>
      </c>
      <c r="H90" s="47">
        <v>20</v>
      </c>
      <c r="I90" s="46">
        <f>G90*H90</f>
        <v>1277.3999999999999</v>
      </c>
    </row>
    <row r="91" spans="1:9" s="5" customFormat="1" ht="22.5">
      <c r="A91" s="41" t="s">
        <v>168</v>
      </c>
      <c r="B91" s="42" t="s">
        <v>0</v>
      </c>
      <c r="C91" s="43">
        <v>94229</v>
      </c>
      <c r="D91" s="53" t="s">
        <v>169</v>
      </c>
      <c r="E91" s="43" t="s">
        <v>13</v>
      </c>
      <c r="F91" s="45">
        <v>112.32</v>
      </c>
      <c r="G91" s="46">
        <v>124.08</v>
      </c>
      <c r="H91" s="47">
        <v>90</v>
      </c>
      <c r="I91" s="46">
        <f>G91*H91</f>
        <v>11167.2</v>
      </c>
    </row>
    <row r="92" spans="1:9" s="5" customFormat="1" ht="22.5">
      <c r="A92" s="41" t="s">
        <v>170</v>
      </c>
      <c r="B92" s="42" t="s">
        <v>0</v>
      </c>
      <c r="C92" s="43">
        <v>91790</v>
      </c>
      <c r="D92" s="53" t="s">
        <v>171</v>
      </c>
      <c r="E92" s="43" t="s">
        <v>13</v>
      </c>
      <c r="F92" s="45">
        <v>45.87</v>
      </c>
      <c r="G92" s="46">
        <v>50.67</v>
      </c>
      <c r="H92" s="47">
        <v>150</v>
      </c>
      <c r="I92" s="46">
        <f>G92*H92</f>
        <v>7600.5</v>
      </c>
    </row>
    <row r="93" spans="1:9" s="5" customFormat="1" ht="12.75">
      <c r="A93" s="41" t="s">
        <v>172</v>
      </c>
      <c r="B93" s="42" t="s">
        <v>0</v>
      </c>
      <c r="C93" s="43">
        <v>72285</v>
      </c>
      <c r="D93" s="53" t="s">
        <v>173</v>
      </c>
      <c r="E93" s="2" t="s">
        <v>11</v>
      </c>
      <c r="F93" s="45">
        <v>85.96</v>
      </c>
      <c r="G93" s="46">
        <v>94.96</v>
      </c>
      <c r="H93" s="47">
        <v>10</v>
      </c>
      <c r="I93" s="46">
        <f>G93*H93</f>
        <v>949.59999999999991</v>
      </c>
    </row>
    <row r="94" spans="1:9" s="5" customFormat="1" ht="12.75">
      <c r="A94" s="35" t="s">
        <v>103</v>
      </c>
      <c r="B94" s="36"/>
      <c r="C94" s="37"/>
      <c r="D94" s="38" t="s">
        <v>106</v>
      </c>
      <c r="E94" s="32"/>
      <c r="F94" s="9"/>
      <c r="G94" s="46"/>
      <c r="H94" s="8"/>
      <c r="I94" s="87">
        <f>SUM(I95:I112)</f>
        <v>40731.860000000008</v>
      </c>
    </row>
    <row r="95" spans="1:9" s="5" customFormat="1" ht="22.5">
      <c r="A95" s="41" t="s">
        <v>258</v>
      </c>
      <c r="B95" s="42" t="s">
        <v>0</v>
      </c>
      <c r="C95" s="43">
        <v>83397</v>
      </c>
      <c r="D95" s="53" t="s">
        <v>290</v>
      </c>
      <c r="E95" s="2" t="s">
        <v>11</v>
      </c>
      <c r="F95" s="45">
        <v>1200.6400000000001</v>
      </c>
      <c r="G95" s="46">
        <v>1326.4</v>
      </c>
      <c r="H95" s="47">
        <v>1</v>
      </c>
      <c r="I95" s="46">
        <f t="shared" ref="I95:I112" si="2">G95*H95</f>
        <v>1326.4</v>
      </c>
    </row>
    <row r="96" spans="1:9" s="5" customFormat="1" ht="22.5">
      <c r="A96" s="41" t="s">
        <v>259</v>
      </c>
      <c r="B96" s="42" t="s">
        <v>9</v>
      </c>
      <c r="C96" s="43">
        <v>1062</v>
      </c>
      <c r="D96" s="53" t="s">
        <v>293</v>
      </c>
      <c r="E96" s="2" t="s">
        <v>11</v>
      </c>
      <c r="F96" s="45">
        <v>148.30000000000001</v>
      </c>
      <c r="G96" s="46">
        <v>163.83000000000001</v>
      </c>
      <c r="H96" s="47">
        <v>1</v>
      </c>
      <c r="I96" s="46">
        <f t="shared" si="2"/>
        <v>163.83000000000001</v>
      </c>
    </row>
    <row r="97" spans="1:9" s="5" customFormat="1" ht="12.75">
      <c r="A97" s="41" t="s">
        <v>272</v>
      </c>
      <c r="B97" s="42" t="s">
        <v>0</v>
      </c>
      <c r="C97" s="43">
        <v>92986</v>
      </c>
      <c r="D97" s="53" t="s">
        <v>291</v>
      </c>
      <c r="E97" s="43" t="s">
        <v>13</v>
      </c>
      <c r="F97" s="45">
        <v>31.91</v>
      </c>
      <c r="G97" s="46">
        <v>35.24</v>
      </c>
      <c r="H97" s="47">
        <v>80</v>
      </c>
      <c r="I97" s="46">
        <f t="shared" si="2"/>
        <v>2819.2000000000003</v>
      </c>
    </row>
    <row r="98" spans="1:9" s="5" customFormat="1" ht="12.75">
      <c r="A98" s="41" t="s">
        <v>273</v>
      </c>
      <c r="B98" s="42" t="s">
        <v>0</v>
      </c>
      <c r="C98" s="43">
        <v>92984</v>
      </c>
      <c r="D98" s="53" t="s">
        <v>292</v>
      </c>
      <c r="E98" s="43" t="s">
        <v>13</v>
      </c>
      <c r="F98" s="45">
        <v>16.350000000000001</v>
      </c>
      <c r="G98" s="46">
        <v>18.059999999999999</v>
      </c>
      <c r="H98" s="47">
        <v>20</v>
      </c>
      <c r="I98" s="46">
        <f t="shared" si="2"/>
        <v>361.2</v>
      </c>
    </row>
    <row r="99" spans="1:9" s="5" customFormat="1" ht="12.75">
      <c r="A99" s="41" t="s">
        <v>274</v>
      </c>
      <c r="B99" s="42" t="s">
        <v>0</v>
      </c>
      <c r="C99" s="43">
        <v>92982</v>
      </c>
      <c r="D99" s="53" t="s">
        <v>296</v>
      </c>
      <c r="E99" s="43" t="s">
        <v>13</v>
      </c>
      <c r="F99" s="45">
        <v>9.66</v>
      </c>
      <c r="G99" s="46">
        <v>10.67</v>
      </c>
      <c r="H99" s="47">
        <v>30</v>
      </c>
      <c r="I99" s="46">
        <f t="shared" si="2"/>
        <v>320.10000000000002</v>
      </c>
    </row>
    <row r="100" spans="1:9" s="5" customFormat="1" ht="12.75">
      <c r="A100" s="41" t="s">
        <v>275</v>
      </c>
      <c r="B100" s="42" t="s">
        <v>0</v>
      </c>
      <c r="C100" s="43">
        <v>92980</v>
      </c>
      <c r="D100" s="53" t="s">
        <v>299</v>
      </c>
      <c r="E100" s="43" t="s">
        <v>13</v>
      </c>
      <c r="F100" s="45">
        <v>6.32</v>
      </c>
      <c r="G100" s="46">
        <v>6.98</v>
      </c>
      <c r="H100" s="47">
        <v>3</v>
      </c>
      <c r="I100" s="46">
        <f t="shared" si="2"/>
        <v>20.94</v>
      </c>
    </row>
    <row r="101" spans="1:9" s="5" customFormat="1" ht="12.75">
      <c r="A101" s="41" t="s">
        <v>276</v>
      </c>
      <c r="B101" s="42" t="s">
        <v>0</v>
      </c>
      <c r="C101" s="43">
        <v>91873</v>
      </c>
      <c r="D101" s="53" t="s">
        <v>297</v>
      </c>
      <c r="E101" s="2" t="s">
        <v>13</v>
      </c>
      <c r="F101" s="45">
        <v>14.98</v>
      </c>
      <c r="G101" s="46">
        <v>16.54</v>
      </c>
      <c r="H101" s="47">
        <v>20</v>
      </c>
      <c r="I101" s="46">
        <f t="shared" si="2"/>
        <v>330.79999999999995</v>
      </c>
    </row>
    <row r="102" spans="1:9" s="5" customFormat="1" ht="12.75">
      <c r="A102" s="41" t="s">
        <v>277</v>
      </c>
      <c r="B102" s="42" t="s">
        <v>0</v>
      </c>
      <c r="C102" s="43">
        <v>91870</v>
      </c>
      <c r="D102" s="53" t="s">
        <v>298</v>
      </c>
      <c r="E102" s="2" t="s">
        <v>13</v>
      </c>
      <c r="F102" s="45">
        <v>8.51</v>
      </c>
      <c r="G102" s="46">
        <v>9.39</v>
      </c>
      <c r="H102" s="47">
        <v>3</v>
      </c>
      <c r="I102" s="46">
        <f t="shared" si="2"/>
        <v>28.17</v>
      </c>
    </row>
    <row r="103" spans="1:9" s="5" customFormat="1" ht="22.5">
      <c r="A103" s="41" t="s">
        <v>278</v>
      </c>
      <c r="B103" s="42" t="s">
        <v>0</v>
      </c>
      <c r="C103" s="43">
        <v>97888</v>
      </c>
      <c r="D103" s="53" t="s">
        <v>289</v>
      </c>
      <c r="E103" s="2" t="s">
        <v>11</v>
      </c>
      <c r="F103" s="45">
        <v>397.47</v>
      </c>
      <c r="G103" s="46">
        <v>439.1</v>
      </c>
      <c r="H103" s="47">
        <v>2</v>
      </c>
      <c r="I103" s="46">
        <f t="shared" si="2"/>
        <v>878.2</v>
      </c>
    </row>
    <row r="104" spans="1:9" s="5" customFormat="1" ht="33.75">
      <c r="A104" s="41" t="s">
        <v>279</v>
      </c>
      <c r="B104" s="42" t="s">
        <v>0</v>
      </c>
      <c r="C104" s="43" t="s">
        <v>285</v>
      </c>
      <c r="D104" s="53" t="s">
        <v>284</v>
      </c>
      <c r="E104" s="2" t="s">
        <v>11</v>
      </c>
      <c r="F104" s="45">
        <v>981.86</v>
      </c>
      <c r="G104" s="46">
        <v>1084.7</v>
      </c>
      <c r="H104" s="47">
        <v>3</v>
      </c>
      <c r="I104" s="46">
        <f t="shared" si="2"/>
        <v>3254.1000000000004</v>
      </c>
    </row>
    <row r="105" spans="1:9" s="5" customFormat="1" ht="12.75">
      <c r="A105" s="41" t="s">
        <v>300</v>
      </c>
      <c r="B105" s="42" t="s">
        <v>0</v>
      </c>
      <c r="C105" s="43">
        <v>93654</v>
      </c>
      <c r="D105" s="53" t="s">
        <v>286</v>
      </c>
      <c r="E105" s="2" t="s">
        <v>11</v>
      </c>
      <c r="F105" s="45">
        <v>9.4</v>
      </c>
      <c r="G105" s="46">
        <v>10.37</v>
      </c>
      <c r="H105" s="47">
        <v>3</v>
      </c>
      <c r="I105" s="46">
        <f t="shared" si="2"/>
        <v>31.11</v>
      </c>
    </row>
    <row r="106" spans="1:9" s="5" customFormat="1" ht="12.75">
      <c r="A106" s="41" t="s">
        <v>301</v>
      </c>
      <c r="B106" s="42" t="s">
        <v>0</v>
      </c>
      <c r="C106" s="43">
        <v>93655</v>
      </c>
      <c r="D106" s="53" t="s">
        <v>287</v>
      </c>
      <c r="E106" s="2" t="s">
        <v>11</v>
      </c>
      <c r="F106" s="45">
        <v>10.33</v>
      </c>
      <c r="G106" s="46">
        <v>11.4</v>
      </c>
      <c r="H106" s="47">
        <v>35</v>
      </c>
      <c r="I106" s="46">
        <f t="shared" si="2"/>
        <v>399</v>
      </c>
    </row>
    <row r="107" spans="1:9" s="5" customFormat="1" ht="12.75">
      <c r="A107" s="41" t="s">
        <v>302</v>
      </c>
      <c r="B107" s="42" t="s">
        <v>0</v>
      </c>
      <c r="C107" s="43">
        <v>93657</v>
      </c>
      <c r="D107" s="53" t="s">
        <v>288</v>
      </c>
      <c r="E107" s="2" t="s">
        <v>11</v>
      </c>
      <c r="F107" s="45">
        <v>11.53</v>
      </c>
      <c r="G107" s="46">
        <v>12.73</v>
      </c>
      <c r="H107" s="47">
        <v>4</v>
      </c>
      <c r="I107" s="46">
        <f t="shared" si="2"/>
        <v>50.92</v>
      </c>
    </row>
    <row r="108" spans="1:9" s="5" customFormat="1" ht="22.5">
      <c r="A108" s="41" t="s">
        <v>303</v>
      </c>
      <c r="B108" s="42" t="s">
        <v>0</v>
      </c>
      <c r="C108" s="43" t="s">
        <v>295</v>
      </c>
      <c r="D108" s="53" t="s">
        <v>294</v>
      </c>
      <c r="E108" s="2" t="s">
        <v>11</v>
      </c>
      <c r="F108" s="45">
        <v>99.46</v>
      </c>
      <c r="G108" s="46">
        <v>109.87</v>
      </c>
      <c r="H108" s="47">
        <v>1</v>
      </c>
      <c r="I108" s="46">
        <f t="shared" si="2"/>
        <v>109.87</v>
      </c>
    </row>
    <row r="109" spans="1:9" s="5" customFormat="1" ht="12.75">
      <c r="A109" s="41" t="s">
        <v>304</v>
      </c>
      <c r="B109" s="42" t="s">
        <v>0</v>
      </c>
      <c r="C109" s="43">
        <v>93128</v>
      </c>
      <c r="D109" s="53" t="s">
        <v>280</v>
      </c>
      <c r="E109" s="2" t="s">
        <v>11</v>
      </c>
      <c r="F109" s="45">
        <v>115.2</v>
      </c>
      <c r="G109" s="46">
        <v>127.26</v>
      </c>
      <c r="H109" s="47">
        <v>84</v>
      </c>
      <c r="I109" s="46">
        <f t="shared" si="2"/>
        <v>10689.84</v>
      </c>
    </row>
    <row r="110" spans="1:9" s="5" customFormat="1" ht="12.75">
      <c r="A110" s="41" t="s">
        <v>305</v>
      </c>
      <c r="B110" s="42" t="s">
        <v>0</v>
      </c>
      <c r="C110" s="43">
        <v>93141</v>
      </c>
      <c r="D110" s="53" t="s">
        <v>282</v>
      </c>
      <c r="E110" s="2" t="s">
        <v>11</v>
      </c>
      <c r="F110" s="45">
        <v>137.76</v>
      </c>
      <c r="G110" s="46">
        <v>152.18</v>
      </c>
      <c r="H110" s="47">
        <v>119</v>
      </c>
      <c r="I110" s="46">
        <f t="shared" si="2"/>
        <v>18109.420000000002</v>
      </c>
    </row>
    <row r="111" spans="1:9" s="5" customFormat="1" ht="12.75">
      <c r="A111" s="41" t="s">
        <v>306</v>
      </c>
      <c r="B111" s="42" t="s">
        <v>0</v>
      </c>
      <c r="C111" s="43">
        <v>93143</v>
      </c>
      <c r="D111" s="53" t="s">
        <v>283</v>
      </c>
      <c r="E111" s="2" t="s">
        <v>11</v>
      </c>
      <c r="F111" s="45">
        <v>139.62</v>
      </c>
      <c r="G111" s="46">
        <v>154.24</v>
      </c>
      <c r="H111" s="47">
        <v>7</v>
      </c>
      <c r="I111" s="46">
        <f t="shared" si="2"/>
        <v>1079.68</v>
      </c>
    </row>
    <row r="112" spans="1:9" s="5" customFormat="1" ht="12.75">
      <c r="A112" s="41" t="s">
        <v>307</v>
      </c>
      <c r="B112" s="42" t="s">
        <v>0</v>
      </c>
      <c r="C112" s="43">
        <v>93144</v>
      </c>
      <c r="D112" s="53" t="s">
        <v>281</v>
      </c>
      <c r="E112" s="2" t="s">
        <v>11</v>
      </c>
      <c r="F112" s="45">
        <v>171.79</v>
      </c>
      <c r="G112" s="46">
        <v>189.77</v>
      </c>
      <c r="H112" s="47">
        <v>4</v>
      </c>
      <c r="I112" s="46">
        <f t="shared" si="2"/>
        <v>759.08</v>
      </c>
    </row>
    <row r="113" spans="1:9" s="5" customFormat="1" ht="12.75">
      <c r="A113" s="35" t="s">
        <v>104</v>
      </c>
      <c r="B113" s="36"/>
      <c r="C113" s="37"/>
      <c r="D113" s="38" t="s">
        <v>211</v>
      </c>
      <c r="E113" s="32"/>
      <c r="F113" s="9"/>
      <c r="G113" s="46"/>
      <c r="H113" s="8"/>
      <c r="I113" s="87">
        <f>SUM(I114:I117)</f>
        <v>5951.3499999999995</v>
      </c>
    </row>
    <row r="114" spans="1:9" s="5" customFormat="1" ht="12.75">
      <c r="A114" s="41" t="s">
        <v>260</v>
      </c>
      <c r="B114" s="42" t="s">
        <v>0</v>
      </c>
      <c r="C114" s="43">
        <v>98307</v>
      </c>
      <c r="D114" s="53" t="s">
        <v>174</v>
      </c>
      <c r="E114" s="2" t="s">
        <v>11</v>
      </c>
      <c r="F114" s="45">
        <v>38.99</v>
      </c>
      <c r="G114" s="46">
        <v>43.06</v>
      </c>
      <c r="H114" s="47">
        <v>21</v>
      </c>
      <c r="I114" s="46">
        <f>G114*H114</f>
        <v>904.26</v>
      </c>
    </row>
    <row r="115" spans="1:9" s="5" customFormat="1" ht="12.75">
      <c r="A115" s="41" t="s">
        <v>261</v>
      </c>
      <c r="B115" s="42" t="s">
        <v>9</v>
      </c>
      <c r="C115" s="43">
        <v>39601</v>
      </c>
      <c r="D115" s="53" t="s">
        <v>175</v>
      </c>
      <c r="E115" s="2" t="s">
        <v>11</v>
      </c>
      <c r="F115" s="45">
        <v>22.23</v>
      </c>
      <c r="G115" s="46">
        <v>24.56</v>
      </c>
      <c r="H115" s="47">
        <v>40</v>
      </c>
      <c r="I115" s="46">
        <f>G115*H115</f>
        <v>982.4</v>
      </c>
    </row>
    <row r="116" spans="1:9" s="5" customFormat="1" ht="12.75">
      <c r="A116" s="41" t="s">
        <v>262</v>
      </c>
      <c r="B116" s="42" t="s">
        <v>0</v>
      </c>
      <c r="C116" s="43">
        <v>98297</v>
      </c>
      <c r="D116" s="53" t="s">
        <v>209</v>
      </c>
      <c r="E116" s="43" t="s">
        <v>13</v>
      </c>
      <c r="F116" s="45">
        <v>2.5499999999999998</v>
      </c>
      <c r="G116" s="46">
        <v>2.81</v>
      </c>
      <c r="H116" s="47">
        <v>915</v>
      </c>
      <c r="I116" s="46">
        <f>G116*H116</f>
        <v>2571.15</v>
      </c>
    </row>
    <row r="117" spans="1:9" s="5" customFormat="1" ht="12.75">
      <c r="A117" s="41" t="s">
        <v>263</v>
      </c>
      <c r="B117" s="42" t="s">
        <v>0</v>
      </c>
      <c r="C117" s="43">
        <v>98302</v>
      </c>
      <c r="D117" s="53" t="s">
        <v>176</v>
      </c>
      <c r="E117" s="2" t="s">
        <v>11</v>
      </c>
      <c r="F117" s="45">
        <v>675.97</v>
      </c>
      <c r="G117" s="46">
        <v>746.77</v>
      </c>
      <c r="H117" s="47">
        <v>2</v>
      </c>
      <c r="I117" s="46">
        <f>G117*H117</f>
        <v>1493.54</v>
      </c>
    </row>
    <row r="118" spans="1:9" s="5" customFormat="1" ht="12.75">
      <c r="A118" s="35" t="s">
        <v>105</v>
      </c>
      <c r="B118" s="36"/>
      <c r="C118" s="37"/>
      <c r="D118" s="38" t="s">
        <v>66</v>
      </c>
      <c r="E118" s="32"/>
      <c r="F118" s="9"/>
      <c r="G118" s="46"/>
      <c r="H118" s="8"/>
      <c r="I118" s="87">
        <f>I119</f>
        <v>2881.54</v>
      </c>
    </row>
    <row r="119" spans="1:9" s="5" customFormat="1" ht="12.75">
      <c r="A119" s="41" t="s">
        <v>210</v>
      </c>
      <c r="B119" s="58" t="s">
        <v>269</v>
      </c>
      <c r="C119" s="43"/>
      <c r="D119" s="53" t="str">
        <f>UPPER("Infraestrutura Ar Split - Dutos / Elétrica")</f>
        <v>INFRAESTRUTURA AR SPLIT - DUTOS / ELÉTRICA</v>
      </c>
      <c r="E119" s="2" t="s">
        <v>11</v>
      </c>
      <c r="F119" s="45">
        <v>137.28</v>
      </c>
      <c r="G119" s="46">
        <v>151.66</v>
      </c>
      <c r="H119" s="47">
        <v>19</v>
      </c>
      <c r="I119" s="46">
        <f>G119*H119</f>
        <v>2881.54</v>
      </c>
    </row>
    <row r="120" spans="1:9" s="5" customFormat="1" ht="12.75">
      <c r="A120" s="33">
        <v>9</v>
      </c>
      <c r="B120" s="33"/>
      <c r="C120" s="33"/>
      <c r="D120" s="54" t="s">
        <v>107</v>
      </c>
      <c r="E120" s="79"/>
      <c r="F120" s="80"/>
      <c r="G120" s="81"/>
      <c r="H120" s="80"/>
      <c r="I120" s="82">
        <f>SUM(I121,I137)</f>
        <v>54864.444399999993</v>
      </c>
    </row>
    <row r="121" spans="1:9" s="5" customFormat="1" ht="12.75">
      <c r="A121" s="35" t="s">
        <v>101</v>
      </c>
      <c r="B121" s="36"/>
      <c r="C121" s="37"/>
      <c r="D121" s="38" t="s">
        <v>97</v>
      </c>
      <c r="E121" s="32"/>
      <c r="F121" s="9"/>
      <c r="G121" s="11"/>
      <c r="H121" s="8"/>
      <c r="I121" s="87">
        <f>SUM(I122:I136)</f>
        <v>39679.904399999992</v>
      </c>
    </row>
    <row r="122" spans="1:9" s="5" customFormat="1" ht="22.5">
      <c r="A122" s="41" t="s">
        <v>128</v>
      </c>
      <c r="B122" s="42" t="s">
        <v>0</v>
      </c>
      <c r="C122" s="43">
        <v>86932</v>
      </c>
      <c r="D122" s="53" t="s">
        <v>247</v>
      </c>
      <c r="E122" s="2" t="s">
        <v>11</v>
      </c>
      <c r="F122" s="45">
        <v>420.59</v>
      </c>
      <c r="G122" s="46">
        <v>464.64</v>
      </c>
      <c r="H122" s="47">
        <v>14</v>
      </c>
      <c r="I122" s="46">
        <f t="shared" ref="I122:I136" si="3">G122*H122</f>
        <v>6504.96</v>
      </c>
    </row>
    <row r="123" spans="1:9" s="5" customFormat="1" ht="33.75">
      <c r="A123" s="41" t="s">
        <v>129</v>
      </c>
      <c r="B123" s="43" t="s">
        <v>22</v>
      </c>
      <c r="C123" s="43">
        <v>3</v>
      </c>
      <c r="D123" s="44" t="s">
        <v>248</v>
      </c>
      <c r="E123" s="2" t="s">
        <v>11</v>
      </c>
      <c r="F123" s="45">
        <f>[2]COMPOSIÇÕES!G36</f>
        <v>1415.9417030000002</v>
      </c>
      <c r="G123" s="46">
        <v>1564.26</v>
      </c>
      <c r="H123" s="47">
        <v>4</v>
      </c>
      <c r="I123" s="46">
        <f t="shared" si="3"/>
        <v>6257.04</v>
      </c>
    </row>
    <row r="124" spans="1:9" s="5" customFormat="1" ht="33.75">
      <c r="A124" s="41" t="s">
        <v>130</v>
      </c>
      <c r="B124" s="42" t="s">
        <v>0</v>
      </c>
      <c r="C124" s="43">
        <v>86943</v>
      </c>
      <c r="D124" s="53" t="s">
        <v>127</v>
      </c>
      <c r="E124" s="2" t="s">
        <v>11</v>
      </c>
      <c r="F124" s="45">
        <v>197.86</v>
      </c>
      <c r="G124" s="46">
        <v>218.58</v>
      </c>
      <c r="H124" s="47">
        <v>16</v>
      </c>
      <c r="I124" s="46">
        <f t="shared" si="3"/>
        <v>3497.28</v>
      </c>
    </row>
    <row r="125" spans="1:9" s="5" customFormat="1" ht="33.75">
      <c r="A125" s="41" t="s">
        <v>131</v>
      </c>
      <c r="B125" s="42" t="s">
        <v>12</v>
      </c>
      <c r="C125" s="43">
        <v>12292</v>
      </c>
      <c r="D125" s="53" t="s">
        <v>206</v>
      </c>
      <c r="E125" s="2" t="s">
        <v>11</v>
      </c>
      <c r="F125" s="45">
        <v>1260.9000000000001</v>
      </c>
      <c r="G125" s="46">
        <v>1392.98</v>
      </c>
      <c r="H125" s="47">
        <v>4</v>
      </c>
      <c r="I125" s="46">
        <f t="shared" si="3"/>
        <v>5571.92</v>
      </c>
    </row>
    <row r="126" spans="1:9" s="5" customFormat="1" ht="33.75">
      <c r="A126" s="41" t="s">
        <v>132</v>
      </c>
      <c r="B126" s="42" t="s">
        <v>12</v>
      </c>
      <c r="C126" s="43">
        <v>12261</v>
      </c>
      <c r="D126" s="53" t="s">
        <v>207</v>
      </c>
      <c r="E126" s="2" t="s">
        <v>11</v>
      </c>
      <c r="F126" s="45">
        <v>712.44</v>
      </c>
      <c r="G126" s="46">
        <v>787.06</v>
      </c>
      <c r="H126" s="47">
        <v>2</v>
      </c>
      <c r="I126" s="46">
        <f t="shared" si="3"/>
        <v>1574.12</v>
      </c>
    </row>
    <row r="127" spans="1:9" s="5" customFormat="1" ht="33.75">
      <c r="A127" s="41" t="s">
        <v>133</v>
      </c>
      <c r="B127" s="42" t="s">
        <v>12</v>
      </c>
      <c r="C127" s="43">
        <v>2074</v>
      </c>
      <c r="D127" s="53" t="s">
        <v>208</v>
      </c>
      <c r="E127" s="2" t="s">
        <v>11</v>
      </c>
      <c r="F127" s="45">
        <v>669.39</v>
      </c>
      <c r="G127" s="46">
        <v>739.5</v>
      </c>
      <c r="H127" s="47">
        <v>8</v>
      </c>
      <c r="I127" s="46">
        <f t="shared" si="3"/>
        <v>5916</v>
      </c>
    </row>
    <row r="128" spans="1:9" s="5" customFormat="1" ht="33.75">
      <c r="A128" s="41" t="s">
        <v>134</v>
      </c>
      <c r="B128" s="42" t="s">
        <v>1</v>
      </c>
      <c r="C128" s="43">
        <v>1</v>
      </c>
      <c r="D128" s="53" t="s">
        <v>177</v>
      </c>
      <c r="E128" s="2" t="s">
        <v>16</v>
      </c>
      <c r="F128" s="45">
        <f>[2]COTAÇÕES!G18</f>
        <v>1961.2908415841584</v>
      </c>
      <c r="G128" s="46">
        <v>2166.73</v>
      </c>
      <c r="H128" s="47">
        <v>2.2799999999999998</v>
      </c>
      <c r="I128" s="46">
        <f t="shared" si="3"/>
        <v>4940.1443999999992</v>
      </c>
    </row>
    <row r="129" spans="1:9" s="5" customFormat="1" ht="12.75">
      <c r="A129" s="41" t="s">
        <v>212</v>
      </c>
      <c r="B129" s="42" t="s">
        <v>0</v>
      </c>
      <c r="C129" s="43">
        <v>86872</v>
      </c>
      <c r="D129" s="53" t="s">
        <v>178</v>
      </c>
      <c r="E129" s="2" t="s">
        <v>11</v>
      </c>
      <c r="F129" s="45">
        <v>623.59</v>
      </c>
      <c r="G129" s="46">
        <v>688.9</v>
      </c>
      <c r="H129" s="47">
        <v>1</v>
      </c>
      <c r="I129" s="46">
        <f t="shared" si="3"/>
        <v>688.9</v>
      </c>
    </row>
    <row r="130" spans="1:9" s="5" customFormat="1" ht="12.75">
      <c r="A130" s="41" t="s">
        <v>213</v>
      </c>
      <c r="B130" s="42" t="s">
        <v>9</v>
      </c>
      <c r="C130" s="43">
        <v>11688</v>
      </c>
      <c r="D130" s="53" t="s">
        <v>179</v>
      </c>
      <c r="E130" s="2" t="s">
        <v>11</v>
      </c>
      <c r="F130" s="45">
        <v>378.92</v>
      </c>
      <c r="G130" s="46">
        <v>418.6</v>
      </c>
      <c r="H130" s="47">
        <v>1</v>
      </c>
      <c r="I130" s="46">
        <f t="shared" si="3"/>
        <v>418.6</v>
      </c>
    </row>
    <row r="131" spans="1:9" s="5" customFormat="1" ht="12.75">
      <c r="A131" s="41" t="s">
        <v>214</v>
      </c>
      <c r="B131" s="42" t="s">
        <v>0</v>
      </c>
      <c r="C131" s="43">
        <v>9535</v>
      </c>
      <c r="D131" s="53" t="s">
        <v>180</v>
      </c>
      <c r="E131" s="2" t="s">
        <v>11</v>
      </c>
      <c r="F131" s="45">
        <v>60.43</v>
      </c>
      <c r="G131" s="46">
        <v>66.760000000000005</v>
      </c>
      <c r="H131" s="47">
        <v>1</v>
      </c>
      <c r="I131" s="46">
        <f t="shared" si="3"/>
        <v>66.760000000000005</v>
      </c>
    </row>
    <row r="132" spans="1:9" s="5" customFormat="1" ht="12.75">
      <c r="A132" s="41" t="s">
        <v>215</v>
      </c>
      <c r="B132" s="42" t="s">
        <v>9</v>
      </c>
      <c r="C132" s="43">
        <v>11777</v>
      </c>
      <c r="D132" s="53" t="s">
        <v>181</v>
      </c>
      <c r="E132" s="2" t="s">
        <v>11</v>
      </c>
      <c r="F132" s="45">
        <v>96.92</v>
      </c>
      <c r="G132" s="46">
        <v>107.07</v>
      </c>
      <c r="H132" s="47">
        <v>1</v>
      </c>
      <c r="I132" s="46">
        <f t="shared" si="3"/>
        <v>107.07</v>
      </c>
    </row>
    <row r="133" spans="1:9" s="5" customFormat="1" ht="12.75">
      <c r="A133" s="41" t="s">
        <v>216</v>
      </c>
      <c r="B133" s="42" t="s">
        <v>0</v>
      </c>
      <c r="C133" s="43">
        <v>86906</v>
      </c>
      <c r="D133" s="44" t="s">
        <v>271</v>
      </c>
      <c r="E133" s="2" t="s">
        <v>11</v>
      </c>
      <c r="F133" s="45">
        <v>66.42</v>
      </c>
      <c r="G133" s="46">
        <v>73.37</v>
      </c>
      <c r="H133" s="47">
        <v>2</v>
      </c>
      <c r="I133" s="46">
        <f t="shared" si="3"/>
        <v>146.74</v>
      </c>
    </row>
    <row r="134" spans="1:9" s="5" customFormat="1" ht="12.75">
      <c r="A134" s="41" t="s">
        <v>217</v>
      </c>
      <c r="B134" s="42" t="s">
        <v>9</v>
      </c>
      <c r="C134" s="43">
        <v>7602</v>
      </c>
      <c r="D134" s="53" t="s">
        <v>182</v>
      </c>
      <c r="E134" s="2" t="s">
        <v>11</v>
      </c>
      <c r="F134" s="45">
        <v>20.07</v>
      </c>
      <c r="G134" s="46">
        <v>22.17</v>
      </c>
      <c r="H134" s="47">
        <v>2</v>
      </c>
      <c r="I134" s="46">
        <f t="shared" si="3"/>
        <v>44.34</v>
      </c>
    </row>
    <row r="135" spans="1:9" s="5" customFormat="1" ht="12.75">
      <c r="A135" s="41" t="s">
        <v>218</v>
      </c>
      <c r="B135" s="42" t="s">
        <v>12</v>
      </c>
      <c r="C135" s="43">
        <v>802</v>
      </c>
      <c r="D135" s="53" t="s">
        <v>183</v>
      </c>
      <c r="E135" s="2" t="s">
        <v>11</v>
      </c>
      <c r="F135" s="45">
        <v>648.01</v>
      </c>
      <c r="G135" s="46">
        <v>715.88</v>
      </c>
      <c r="H135" s="47">
        <v>2</v>
      </c>
      <c r="I135" s="46">
        <f t="shared" si="3"/>
        <v>1431.76</v>
      </c>
    </row>
    <row r="136" spans="1:9" s="5" customFormat="1" ht="22.5">
      <c r="A136" s="41" t="s">
        <v>249</v>
      </c>
      <c r="B136" s="42" t="s">
        <v>9</v>
      </c>
      <c r="C136" s="43">
        <v>36081</v>
      </c>
      <c r="D136" s="53" t="s">
        <v>184</v>
      </c>
      <c r="E136" s="2" t="s">
        <v>11</v>
      </c>
      <c r="F136" s="45">
        <v>206.9</v>
      </c>
      <c r="G136" s="46">
        <v>228.57</v>
      </c>
      <c r="H136" s="47">
        <v>11</v>
      </c>
      <c r="I136" s="46">
        <f t="shared" si="3"/>
        <v>2514.27</v>
      </c>
    </row>
    <row r="137" spans="1:9" s="5" customFormat="1" ht="12.75">
      <c r="A137" s="35" t="s">
        <v>110</v>
      </c>
      <c r="B137" s="36"/>
      <c r="C137" s="37"/>
      <c r="D137" s="38" t="s">
        <v>109</v>
      </c>
      <c r="E137" s="32"/>
      <c r="F137" s="9"/>
      <c r="G137" s="46"/>
      <c r="H137" s="8"/>
      <c r="I137" s="87">
        <f>SUM(I138:I142)</f>
        <v>15184.54</v>
      </c>
    </row>
    <row r="138" spans="1:9" s="5" customFormat="1" ht="12.75">
      <c r="A138" s="41" t="s">
        <v>253</v>
      </c>
      <c r="B138" s="13" t="s">
        <v>0</v>
      </c>
      <c r="C138" s="13">
        <v>97592</v>
      </c>
      <c r="D138" s="14" t="s">
        <v>267</v>
      </c>
      <c r="E138" s="15" t="s">
        <v>11</v>
      </c>
      <c r="F138" s="16">
        <v>97.04</v>
      </c>
      <c r="G138" s="46">
        <v>107.2</v>
      </c>
      <c r="H138" s="16">
        <v>12</v>
      </c>
      <c r="I138" s="46">
        <f>G138*H138</f>
        <v>1286.4000000000001</v>
      </c>
    </row>
    <row r="139" spans="1:9" s="5" customFormat="1" ht="12.75">
      <c r="A139" s="41" t="s">
        <v>254</v>
      </c>
      <c r="B139" s="13" t="s">
        <v>0</v>
      </c>
      <c r="C139" s="13">
        <v>97607</v>
      </c>
      <c r="D139" s="14" t="s">
        <v>264</v>
      </c>
      <c r="E139" s="15" t="s">
        <v>11</v>
      </c>
      <c r="F139" s="16">
        <v>100.09</v>
      </c>
      <c r="G139" s="46">
        <v>110.57</v>
      </c>
      <c r="H139" s="16">
        <v>8</v>
      </c>
      <c r="I139" s="46">
        <f>G139*H139</f>
        <v>884.56</v>
      </c>
    </row>
    <row r="140" spans="1:9" s="5" customFormat="1" ht="22.5">
      <c r="A140" s="41" t="s">
        <v>255</v>
      </c>
      <c r="B140" s="13" t="s">
        <v>0</v>
      </c>
      <c r="C140" s="13" t="s">
        <v>266</v>
      </c>
      <c r="D140" s="14" t="s">
        <v>265</v>
      </c>
      <c r="E140" s="15" t="s">
        <v>11</v>
      </c>
      <c r="F140" s="16">
        <v>183.16</v>
      </c>
      <c r="G140" s="46">
        <v>202.34</v>
      </c>
      <c r="H140" s="16">
        <v>64</v>
      </c>
      <c r="I140" s="46">
        <f>G140*H140</f>
        <v>12949.76</v>
      </c>
    </row>
    <row r="141" spans="1:9" s="5" customFormat="1" ht="12.75">
      <c r="A141" s="41" t="s">
        <v>256</v>
      </c>
      <c r="B141" s="13" t="s">
        <v>0</v>
      </c>
      <c r="C141" s="17">
        <v>91955</v>
      </c>
      <c r="D141" s="18" t="s">
        <v>268</v>
      </c>
      <c r="E141" s="15" t="s">
        <v>11</v>
      </c>
      <c r="F141" s="16">
        <v>26.93</v>
      </c>
      <c r="G141" s="46">
        <v>29.74</v>
      </c>
      <c r="H141" s="16">
        <v>1</v>
      </c>
      <c r="I141" s="46">
        <f>G141*H141</f>
        <v>29.74</v>
      </c>
    </row>
    <row r="142" spans="1:9" s="5" customFormat="1" ht="12.75">
      <c r="A142" s="41" t="s">
        <v>257</v>
      </c>
      <c r="B142" s="13" t="s">
        <v>0</v>
      </c>
      <c r="C142" s="17">
        <v>83399</v>
      </c>
      <c r="D142" s="18" t="s">
        <v>270</v>
      </c>
      <c r="E142" s="15" t="s">
        <v>11</v>
      </c>
      <c r="F142" s="16">
        <v>30.85</v>
      </c>
      <c r="G142" s="46">
        <v>34.08</v>
      </c>
      <c r="H142" s="16">
        <v>1</v>
      </c>
      <c r="I142" s="46">
        <f>G142*H142</f>
        <v>34.08</v>
      </c>
    </row>
    <row r="143" spans="1:9" s="5" customFormat="1" ht="12.75">
      <c r="A143" s="33">
        <v>10</v>
      </c>
      <c r="B143" s="33"/>
      <c r="C143" s="33"/>
      <c r="D143" s="54" t="s">
        <v>67</v>
      </c>
      <c r="E143" s="79"/>
      <c r="F143" s="80"/>
      <c r="G143" s="81"/>
      <c r="H143" s="80"/>
      <c r="I143" s="82">
        <f>SUM(I144,I146,I151,I154)</f>
        <v>63338.038</v>
      </c>
    </row>
    <row r="144" spans="1:9" s="5" customFormat="1" ht="12.75">
      <c r="A144" s="35" t="s">
        <v>100</v>
      </c>
      <c r="B144" s="36"/>
      <c r="C144" s="37"/>
      <c r="D144" s="38" t="s">
        <v>115</v>
      </c>
      <c r="E144" s="32"/>
      <c r="F144" s="9"/>
      <c r="G144" s="11"/>
      <c r="H144" s="8"/>
      <c r="I144" s="87">
        <f>I145</f>
        <v>1503</v>
      </c>
    </row>
    <row r="145" spans="1:9" s="5" customFormat="1" ht="22.5">
      <c r="A145" s="41" t="s">
        <v>223</v>
      </c>
      <c r="B145" s="42" t="s">
        <v>0</v>
      </c>
      <c r="C145" s="43">
        <v>83336</v>
      </c>
      <c r="D145" s="53" t="s">
        <v>185</v>
      </c>
      <c r="E145" s="43" t="s">
        <v>186</v>
      </c>
      <c r="F145" s="45">
        <v>4.54</v>
      </c>
      <c r="G145" s="46">
        <v>5.01</v>
      </c>
      <c r="H145" s="47">
        <v>300</v>
      </c>
      <c r="I145" s="46">
        <f>G145*H145</f>
        <v>1503</v>
      </c>
    </row>
    <row r="146" spans="1:9" s="5" customFormat="1" ht="12.75">
      <c r="A146" s="35" t="s">
        <v>113</v>
      </c>
      <c r="B146" s="36"/>
      <c r="C146" s="37"/>
      <c r="D146" s="38" t="s">
        <v>220</v>
      </c>
      <c r="E146" s="37"/>
      <c r="F146" s="39"/>
      <c r="G146" s="46"/>
      <c r="H146" s="51"/>
      <c r="I146" s="52">
        <f>SUM(I147:I150)</f>
        <v>21270.292399999998</v>
      </c>
    </row>
    <row r="147" spans="1:9" s="5" customFormat="1" ht="22.5">
      <c r="A147" s="41" t="s">
        <v>224</v>
      </c>
      <c r="B147" s="42" t="s">
        <v>0</v>
      </c>
      <c r="C147" s="43">
        <v>83694</v>
      </c>
      <c r="D147" s="53" t="s">
        <v>187</v>
      </c>
      <c r="E147" s="43" t="s">
        <v>16</v>
      </c>
      <c r="F147" s="45">
        <v>15.17</v>
      </c>
      <c r="G147" s="46">
        <v>16.75</v>
      </c>
      <c r="H147" s="47">
        <v>604</v>
      </c>
      <c r="I147" s="46">
        <f>G147*H147</f>
        <v>10117</v>
      </c>
    </row>
    <row r="148" spans="1:9" s="5" customFormat="1" ht="22.5">
      <c r="A148" s="41" t="s">
        <v>225</v>
      </c>
      <c r="B148" s="42" t="s">
        <v>0</v>
      </c>
      <c r="C148" s="43">
        <v>95969</v>
      </c>
      <c r="D148" s="44" t="s">
        <v>250</v>
      </c>
      <c r="E148" s="43" t="s">
        <v>186</v>
      </c>
      <c r="F148" s="45">
        <v>2002.18</v>
      </c>
      <c r="G148" s="46">
        <v>2211.9</v>
      </c>
      <c r="H148" s="47">
        <v>0.88</v>
      </c>
      <c r="I148" s="46">
        <f>G148*H148</f>
        <v>1946.472</v>
      </c>
    </row>
    <row r="149" spans="1:9" s="5" customFormat="1" ht="22.5">
      <c r="A149" s="41" t="s">
        <v>226</v>
      </c>
      <c r="B149" s="42" t="s">
        <v>0</v>
      </c>
      <c r="C149" s="43">
        <v>94992</v>
      </c>
      <c r="D149" s="44" t="s">
        <v>191</v>
      </c>
      <c r="E149" s="43" t="s">
        <v>16</v>
      </c>
      <c r="F149" s="45">
        <v>62.59</v>
      </c>
      <c r="G149" s="46">
        <v>69.14</v>
      </c>
      <c r="H149" s="47">
        <v>18.46</v>
      </c>
      <c r="I149" s="46">
        <f>G149*H149</f>
        <v>1276.3244</v>
      </c>
    </row>
    <row r="150" spans="1:9" s="5" customFormat="1" ht="12.75">
      <c r="A150" s="41" t="s">
        <v>227</v>
      </c>
      <c r="B150" s="42" t="s">
        <v>0</v>
      </c>
      <c r="C150" s="43" t="s">
        <v>192</v>
      </c>
      <c r="D150" s="53" t="s">
        <v>193</v>
      </c>
      <c r="E150" s="43" t="s">
        <v>13</v>
      </c>
      <c r="F150" s="45">
        <v>338.62</v>
      </c>
      <c r="G150" s="46">
        <v>374.08</v>
      </c>
      <c r="H150" s="47">
        <v>21.2</v>
      </c>
      <c r="I150" s="46">
        <f>G150*H150</f>
        <v>7930.4959999999992</v>
      </c>
    </row>
    <row r="151" spans="1:9" s="5" customFormat="1" ht="12.75">
      <c r="A151" s="35" t="s">
        <v>114</v>
      </c>
      <c r="B151" s="36"/>
      <c r="C151" s="37"/>
      <c r="D151" s="38" t="s">
        <v>116</v>
      </c>
      <c r="E151" s="32"/>
      <c r="F151" s="9"/>
      <c r="G151" s="46"/>
      <c r="H151" s="8"/>
      <c r="I151" s="87">
        <f>SUM(I152:I153)</f>
        <v>22386.809999999998</v>
      </c>
    </row>
    <row r="152" spans="1:9" s="5" customFormat="1" ht="12.75">
      <c r="A152" s="41" t="s">
        <v>221</v>
      </c>
      <c r="B152" s="42" t="s">
        <v>0</v>
      </c>
      <c r="C152" s="43">
        <v>98655</v>
      </c>
      <c r="D152" s="44" t="s">
        <v>194</v>
      </c>
      <c r="E152" s="43" t="s">
        <v>13</v>
      </c>
      <c r="F152" s="45">
        <v>421.05</v>
      </c>
      <c r="G152" s="46">
        <v>465.15</v>
      </c>
      <c r="H152" s="47">
        <v>30</v>
      </c>
      <c r="I152" s="46">
        <f>G152*H152</f>
        <v>13954.5</v>
      </c>
    </row>
    <row r="153" spans="1:9" s="5" customFormat="1" ht="12.75">
      <c r="A153" s="41" t="s">
        <v>222</v>
      </c>
      <c r="B153" s="42" t="s">
        <v>0</v>
      </c>
      <c r="C153" s="43">
        <v>68054</v>
      </c>
      <c r="D153" s="53" t="s">
        <v>326</v>
      </c>
      <c r="E153" s="43" t="s">
        <v>16</v>
      </c>
      <c r="F153" s="45">
        <v>246.22</v>
      </c>
      <c r="G153" s="46">
        <v>272.01</v>
      </c>
      <c r="H153" s="94">
        <v>31</v>
      </c>
      <c r="I153" s="46">
        <f>G153*H153</f>
        <v>8432.31</v>
      </c>
    </row>
    <row r="154" spans="1:9" s="5" customFormat="1" ht="12.75">
      <c r="A154" s="35" t="s">
        <v>117</v>
      </c>
      <c r="B154" s="36"/>
      <c r="C154" s="37"/>
      <c r="D154" s="38" t="s">
        <v>219</v>
      </c>
      <c r="E154" s="32"/>
      <c r="F154" s="9"/>
      <c r="G154" s="46"/>
      <c r="H154" s="8"/>
      <c r="I154" s="87">
        <f>SUM(I155:I157)</f>
        <v>18177.935600000001</v>
      </c>
    </row>
    <row r="155" spans="1:9" s="5" customFormat="1" ht="22.5">
      <c r="A155" s="41" t="s">
        <v>118</v>
      </c>
      <c r="B155" s="42" t="s">
        <v>0</v>
      </c>
      <c r="C155" s="43">
        <v>92396</v>
      </c>
      <c r="D155" s="44" t="s">
        <v>188</v>
      </c>
      <c r="E155" s="43" t="s">
        <v>16</v>
      </c>
      <c r="F155" s="45">
        <v>50.3</v>
      </c>
      <c r="G155" s="46">
        <v>55.56</v>
      </c>
      <c r="H155" s="47">
        <v>221.76</v>
      </c>
      <c r="I155" s="46">
        <f>G155*H155</f>
        <v>12320.9856</v>
      </c>
    </row>
    <row r="156" spans="1:9" s="5" customFormat="1" ht="33.75">
      <c r="A156" s="41" t="s">
        <v>119</v>
      </c>
      <c r="B156" s="42" t="s">
        <v>0</v>
      </c>
      <c r="C156" s="43">
        <v>94273</v>
      </c>
      <c r="D156" s="44" t="s">
        <v>189</v>
      </c>
      <c r="E156" s="43" t="s">
        <v>13</v>
      </c>
      <c r="F156" s="45">
        <v>37.43</v>
      </c>
      <c r="G156" s="46">
        <v>41.34</v>
      </c>
      <c r="H156" s="47">
        <v>62.5</v>
      </c>
      <c r="I156" s="46">
        <f>G156*H156</f>
        <v>2583.75</v>
      </c>
    </row>
    <row r="157" spans="1:9" s="5" customFormat="1" ht="12.75">
      <c r="A157" s="41" t="s">
        <v>228</v>
      </c>
      <c r="B157" s="42" t="s">
        <v>9</v>
      </c>
      <c r="C157" s="43">
        <v>36178</v>
      </c>
      <c r="D157" s="53" t="s">
        <v>190</v>
      </c>
      <c r="E157" s="2" t="s">
        <v>11</v>
      </c>
      <c r="F157" s="45">
        <v>6.05</v>
      </c>
      <c r="G157" s="46">
        <v>6.68</v>
      </c>
      <c r="H157" s="56">
        <v>490</v>
      </c>
      <c r="I157" s="46">
        <f>G157*H157</f>
        <v>3273.2</v>
      </c>
    </row>
    <row r="158" spans="1:9" s="5" customFormat="1" ht="12.75">
      <c r="A158" s="33">
        <v>11</v>
      </c>
      <c r="B158" s="33"/>
      <c r="C158" s="33"/>
      <c r="D158" s="54" t="s">
        <v>111</v>
      </c>
      <c r="E158" s="79"/>
      <c r="F158" s="80"/>
      <c r="G158" s="81"/>
      <c r="H158" s="80"/>
      <c r="I158" s="82">
        <f>I159</f>
        <v>3366</v>
      </c>
    </row>
    <row r="159" spans="1:9" s="5" customFormat="1" ht="12.75">
      <c r="A159" s="35" t="s">
        <v>112</v>
      </c>
      <c r="B159" s="36"/>
      <c r="C159" s="37"/>
      <c r="D159" s="38" t="s">
        <v>195</v>
      </c>
      <c r="E159" s="32"/>
      <c r="F159" s="9"/>
      <c r="G159" s="11"/>
      <c r="H159" s="8"/>
      <c r="I159" s="87">
        <f>SUM(I160:I173)</f>
        <v>3366</v>
      </c>
    </row>
    <row r="160" spans="1:9" s="5" customFormat="1" ht="12.75">
      <c r="A160" s="69" t="s">
        <v>229</v>
      </c>
      <c r="B160" s="70" t="s">
        <v>12</v>
      </c>
      <c r="C160" s="71">
        <v>2450</v>
      </c>
      <c r="D160" s="72" t="s">
        <v>230</v>
      </c>
      <c r="E160" s="71" t="s">
        <v>16</v>
      </c>
      <c r="F160" s="73">
        <v>1.69</v>
      </c>
      <c r="G160" s="46">
        <v>1.87</v>
      </c>
      <c r="H160" s="74">
        <v>1800</v>
      </c>
      <c r="I160" s="46">
        <f>G160*H160</f>
        <v>3366</v>
      </c>
    </row>
    <row r="161" spans="1:9" ht="30" customHeight="1">
      <c r="A161" s="75"/>
      <c r="B161" s="76"/>
      <c r="C161" s="76"/>
      <c r="D161" s="76"/>
      <c r="E161" s="76"/>
      <c r="F161" s="76"/>
      <c r="G161" s="91" t="s">
        <v>344</v>
      </c>
      <c r="H161" s="378">
        <f>SUM(I6,I10,I17,I20,I29,I42,I57,I73,I120,I143,I158)</f>
        <v>577625.17779999995</v>
      </c>
      <c r="I161" s="379"/>
    </row>
    <row r="162" spans="1:9" ht="12.75">
      <c r="A162" s="24"/>
      <c r="B162" s="24"/>
      <c r="C162" s="24"/>
      <c r="D162" s="24"/>
      <c r="E162" s="24"/>
      <c r="F162" s="24"/>
      <c r="G162" s="24"/>
      <c r="H162" s="24"/>
      <c r="I162" s="24"/>
    </row>
  </sheetData>
  <mergeCells count="8">
    <mergeCell ref="H161:I161"/>
    <mergeCell ref="A4:A5"/>
    <mergeCell ref="B4:B5"/>
    <mergeCell ref="C4:C5"/>
    <mergeCell ref="D4:D5"/>
    <mergeCell ref="E4:E5"/>
    <mergeCell ref="F4:F5"/>
    <mergeCell ref="G4:I4"/>
  </mergeCells>
  <printOptions horizontalCentered="1"/>
  <pageMargins left="0.51181102362204722" right="0.51181102362204722" top="1.1811023622047245" bottom="0.39370078740157483" header="0.19685039370078741" footer="0"/>
  <pageSetup paperSize="9" scale="72" fitToHeight="0" orientation="portrait" r:id="rId1"/>
  <headerFooter>
    <oddHeader>&amp;C&amp;G</oddHeader>
  </headerFooter>
  <colBreaks count="1" manualBreakCount="1">
    <brk id="9" max="1048575" man="1"/>
  </col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workbookViewId="0">
      <selection activeCell="O10" sqref="O10"/>
    </sheetView>
  </sheetViews>
  <sheetFormatPr defaultRowHeight="15"/>
  <cols>
    <col min="1" max="1" width="8.7109375" customWidth="1"/>
    <col min="2" max="2" width="8.7109375" hidden="1" customWidth="1"/>
    <col min="3" max="5" width="7.7109375" customWidth="1"/>
    <col min="9" max="9" width="9.7109375" customWidth="1"/>
    <col min="10" max="10" width="60.28515625" customWidth="1"/>
  </cols>
  <sheetData>
    <row r="1" spans="1:21" ht="21">
      <c r="A1" s="442" t="s">
        <v>418</v>
      </c>
      <c r="B1" s="442"/>
      <c r="C1" s="442"/>
      <c r="D1" s="442"/>
      <c r="E1" s="442"/>
      <c r="F1" s="442"/>
      <c r="G1" s="442"/>
      <c r="H1" s="442"/>
      <c r="I1" s="442"/>
      <c r="J1" s="442"/>
    </row>
    <row r="2" spans="1:21" ht="15" customHeight="1">
      <c r="A2" s="443" t="s">
        <v>347</v>
      </c>
      <c r="B2" s="443" t="s">
        <v>349</v>
      </c>
      <c r="C2" s="444" t="s">
        <v>353</v>
      </c>
      <c r="D2" s="444"/>
      <c r="E2" s="444"/>
      <c r="F2" s="444" t="s">
        <v>350</v>
      </c>
      <c r="G2" s="444"/>
      <c r="H2" s="444"/>
      <c r="I2" s="441" t="s">
        <v>386</v>
      </c>
      <c r="J2" s="443" t="s">
        <v>357</v>
      </c>
    </row>
    <row r="3" spans="1:21">
      <c r="A3" s="443"/>
      <c r="B3" s="443"/>
      <c r="C3" s="443">
        <v>8</v>
      </c>
      <c r="D3" s="443">
        <v>10</v>
      </c>
      <c r="E3" s="443" t="s">
        <v>354</v>
      </c>
      <c r="F3" s="444" t="s">
        <v>355</v>
      </c>
      <c r="G3" s="444"/>
      <c r="H3" s="445" t="s">
        <v>356</v>
      </c>
      <c r="I3" s="441"/>
      <c r="J3" s="443"/>
    </row>
    <row r="4" spans="1:21">
      <c r="A4" s="443"/>
      <c r="B4" s="443"/>
      <c r="C4" s="443"/>
      <c r="D4" s="443"/>
      <c r="E4" s="443"/>
      <c r="F4" s="360">
        <v>100</v>
      </c>
      <c r="G4" s="360">
        <v>600</v>
      </c>
      <c r="H4" s="446"/>
      <c r="I4" s="441"/>
      <c r="J4" s="443"/>
    </row>
    <row r="5" spans="1:21">
      <c r="A5" s="360">
        <v>1</v>
      </c>
      <c r="B5" s="360"/>
      <c r="C5" s="360">
        <v>10</v>
      </c>
      <c r="D5" s="360"/>
      <c r="E5" s="360">
        <v>24</v>
      </c>
      <c r="F5" s="360"/>
      <c r="G5" s="360"/>
      <c r="H5" s="360"/>
      <c r="I5" s="101">
        <f>((8*C5)+(36*E5))</f>
        <v>944</v>
      </c>
      <c r="J5" s="102" t="s">
        <v>359</v>
      </c>
      <c r="K5" s="99" t="s">
        <v>647</v>
      </c>
      <c r="L5" s="362">
        <f>SUM(I5:I17,I45:I46)</f>
        <v>26220</v>
      </c>
      <c r="M5" s="96" t="s">
        <v>670</v>
      </c>
      <c r="N5" s="20">
        <f>20*537</f>
        <v>10740</v>
      </c>
    </row>
    <row r="6" spans="1:21">
      <c r="A6" s="360">
        <v>2</v>
      </c>
      <c r="B6" s="360"/>
      <c r="C6" s="360">
        <v>4</v>
      </c>
      <c r="D6" s="360"/>
      <c r="E6" s="360">
        <v>23</v>
      </c>
      <c r="F6" s="360"/>
      <c r="G6" s="360"/>
      <c r="H6" s="360"/>
      <c r="I6" s="101">
        <f>((8*C6)+(36*E6))</f>
        <v>860</v>
      </c>
      <c r="J6" s="102" t="s">
        <v>360</v>
      </c>
      <c r="M6" t="s">
        <v>645</v>
      </c>
    </row>
    <row r="7" spans="1:21">
      <c r="A7" s="360">
        <v>3</v>
      </c>
      <c r="B7" s="360"/>
      <c r="C7" s="360"/>
      <c r="D7" s="360">
        <v>8</v>
      </c>
      <c r="E7" s="360">
        <v>16</v>
      </c>
      <c r="F7" s="360"/>
      <c r="G7" s="360"/>
      <c r="H7" s="360"/>
      <c r="I7" s="101">
        <f>((10*D7)+(36*E7))</f>
        <v>656</v>
      </c>
      <c r="J7" s="102" t="s">
        <v>382</v>
      </c>
      <c r="L7" t="s">
        <v>661</v>
      </c>
    </row>
    <row r="8" spans="1:21">
      <c r="A8" s="360">
        <v>4</v>
      </c>
      <c r="B8" s="360"/>
      <c r="C8" s="360"/>
      <c r="D8" s="360"/>
      <c r="E8" s="360"/>
      <c r="F8" s="360">
        <v>29</v>
      </c>
      <c r="G8" s="360"/>
      <c r="H8" s="360"/>
      <c r="I8" s="101">
        <f>($F$4*F8)+($G$4*G8)</f>
        <v>2900</v>
      </c>
      <c r="J8" s="102" t="s">
        <v>361</v>
      </c>
      <c r="L8" s="375">
        <f>0.4*L5</f>
        <v>10488</v>
      </c>
      <c r="M8" s="143" t="s">
        <v>660</v>
      </c>
      <c r="R8" s="366" t="s">
        <v>650</v>
      </c>
      <c r="S8" s="367">
        <v>9</v>
      </c>
      <c r="T8" s="367" t="s">
        <v>651</v>
      </c>
      <c r="U8" s="368"/>
    </row>
    <row r="9" spans="1:21">
      <c r="A9" s="360">
        <v>5</v>
      </c>
      <c r="B9" s="360"/>
      <c r="C9" s="360"/>
      <c r="D9" s="360"/>
      <c r="E9" s="360"/>
      <c r="F9" s="360">
        <v>26</v>
      </c>
      <c r="G9" s="360"/>
      <c r="H9" s="360"/>
      <c r="I9" s="101">
        <f t="shared" ref="I9:I16" si="0">($F$4*F9)+($G$4*G9)</f>
        <v>2600</v>
      </c>
      <c r="J9" s="102" t="s">
        <v>362</v>
      </c>
      <c r="R9" s="369"/>
      <c r="S9" s="370">
        <v>18</v>
      </c>
      <c r="T9" s="370" t="s">
        <v>651</v>
      </c>
      <c r="U9" s="371"/>
    </row>
    <row r="10" spans="1:21">
      <c r="A10" s="360">
        <v>6</v>
      </c>
      <c r="B10" s="360"/>
      <c r="C10" s="360"/>
      <c r="D10" s="360"/>
      <c r="E10" s="360"/>
      <c r="F10" s="360">
        <v>14</v>
      </c>
      <c r="G10" s="360">
        <v>1</v>
      </c>
      <c r="H10" s="360"/>
      <c r="I10" s="101">
        <f t="shared" si="0"/>
        <v>2000</v>
      </c>
      <c r="J10" s="102" t="s">
        <v>363</v>
      </c>
      <c r="K10" s="99" t="s">
        <v>653</v>
      </c>
      <c r="L10" t="s">
        <v>654</v>
      </c>
      <c r="R10" s="372"/>
      <c r="S10" s="373">
        <v>12</v>
      </c>
      <c r="T10" s="373" t="s">
        <v>652</v>
      </c>
      <c r="U10" s="374"/>
    </row>
    <row r="11" spans="1:21">
      <c r="A11" s="360">
        <v>7</v>
      </c>
      <c r="B11" s="360"/>
      <c r="C11" s="360"/>
      <c r="D11" s="360"/>
      <c r="E11" s="360"/>
      <c r="F11" s="360">
        <v>19</v>
      </c>
      <c r="G11" s="360"/>
      <c r="H11" s="360"/>
      <c r="I11" s="101">
        <f t="shared" si="0"/>
        <v>1900</v>
      </c>
      <c r="J11" s="102" t="s">
        <v>364</v>
      </c>
      <c r="L11" t="s">
        <v>661</v>
      </c>
    </row>
    <row r="12" spans="1:21">
      <c r="A12" s="360">
        <v>8</v>
      </c>
      <c r="B12" s="360"/>
      <c r="C12" s="360"/>
      <c r="D12" s="360"/>
      <c r="E12" s="360"/>
      <c r="F12" s="360">
        <v>9</v>
      </c>
      <c r="G12" s="360">
        <v>3</v>
      </c>
      <c r="H12" s="360"/>
      <c r="I12" s="101">
        <f t="shared" si="0"/>
        <v>2700</v>
      </c>
      <c r="J12" s="102" t="s">
        <v>365</v>
      </c>
      <c r="L12" s="361">
        <f>SUM(I18:I21)</f>
        <v>22500</v>
      </c>
    </row>
    <row r="13" spans="1:21">
      <c r="A13" s="360">
        <v>9</v>
      </c>
      <c r="B13" s="360"/>
      <c r="C13" s="360"/>
      <c r="D13" s="360"/>
      <c r="E13" s="360"/>
      <c r="F13" s="360">
        <v>14</v>
      </c>
      <c r="G13" s="360">
        <v>1</v>
      </c>
      <c r="H13" s="360"/>
      <c r="I13" s="101">
        <f t="shared" si="0"/>
        <v>2000</v>
      </c>
      <c r="J13" s="102" t="s">
        <v>366</v>
      </c>
      <c r="L13" s="143">
        <f>L12*0.76</f>
        <v>17100</v>
      </c>
      <c r="M13" s="143" t="s">
        <v>660</v>
      </c>
    </row>
    <row r="14" spans="1:21">
      <c r="A14" s="360">
        <v>10</v>
      </c>
      <c r="B14" s="360"/>
      <c r="C14" s="360"/>
      <c r="D14" s="360"/>
      <c r="E14" s="360"/>
      <c r="F14" s="360">
        <v>5</v>
      </c>
      <c r="G14" s="360">
        <v>3</v>
      </c>
      <c r="H14" s="360"/>
      <c r="I14" s="101">
        <f t="shared" si="0"/>
        <v>2300</v>
      </c>
      <c r="J14" s="102" t="s">
        <v>367</v>
      </c>
    </row>
    <row r="15" spans="1:21">
      <c r="A15" s="360">
        <v>11</v>
      </c>
      <c r="B15" s="360"/>
      <c r="C15" s="360"/>
      <c r="D15" s="360"/>
      <c r="E15" s="360"/>
      <c r="F15" s="360">
        <v>24</v>
      </c>
      <c r="G15" s="360"/>
      <c r="H15" s="360"/>
      <c r="I15" s="101">
        <f t="shared" si="0"/>
        <v>2400</v>
      </c>
      <c r="J15" s="102" t="s">
        <v>368</v>
      </c>
      <c r="K15" s="99" t="s">
        <v>655</v>
      </c>
      <c r="L15">
        <v>0</v>
      </c>
      <c r="P15" s="376">
        <f>SUM(L8+L13+L19+L25+L29)</f>
        <v>54341.875</v>
      </c>
      <c r="Q15" s="377" t="s">
        <v>660</v>
      </c>
    </row>
    <row r="16" spans="1:21">
      <c r="A16" s="360">
        <v>12</v>
      </c>
      <c r="B16" s="360"/>
      <c r="C16" s="360"/>
      <c r="D16" s="360"/>
      <c r="E16" s="360"/>
      <c r="F16" s="360">
        <v>28</v>
      </c>
      <c r="G16" s="360"/>
      <c r="H16" s="360"/>
      <c r="I16" s="101">
        <f t="shared" si="0"/>
        <v>2800</v>
      </c>
      <c r="J16" s="102" t="s">
        <v>369</v>
      </c>
    </row>
    <row r="17" spans="1:13">
      <c r="A17" s="360">
        <v>13</v>
      </c>
      <c r="B17" s="360"/>
      <c r="C17" s="360"/>
      <c r="D17" s="360"/>
      <c r="E17" s="360"/>
      <c r="F17" s="360">
        <v>4</v>
      </c>
      <c r="G17" s="360">
        <v>2</v>
      </c>
      <c r="H17" s="360"/>
      <c r="I17" s="101">
        <f>($F$4*F17)+($G$4*G17)</f>
        <v>1600</v>
      </c>
      <c r="J17" s="102" t="s">
        <v>370</v>
      </c>
      <c r="K17" s="99" t="s">
        <v>656</v>
      </c>
      <c r="L17" s="361">
        <f>I47</f>
        <v>1500</v>
      </c>
      <c r="M17" s="99" t="s">
        <v>657</v>
      </c>
    </row>
    <row r="18" spans="1:13">
      <c r="A18" s="110">
        <v>14</v>
      </c>
      <c r="B18" s="110"/>
      <c r="C18" s="110"/>
      <c r="D18" s="110"/>
      <c r="E18" s="110"/>
      <c r="F18" s="110"/>
      <c r="G18" s="110"/>
      <c r="H18" s="110">
        <v>6500</v>
      </c>
      <c r="I18" s="111">
        <f>H18</f>
        <v>6500</v>
      </c>
      <c r="J18" s="112" t="s">
        <v>649</v>
      </c>
      <c r="L18" t="s">
        <v>661</v>
      </c>
    </row>
    <row r="19" spans="1:13">
      <c r="A19" s="110">
        <v>15</v>
      </c>
      <c r="B19" s="110"/>
      <c r="C19" s="110"/>
      <c r="D19" s="110"/>
      <c r="E19" s="110"/>
      <c r="F19" s="110"/>
      <c r="G19" s="110"/>
      <c r="H19" s="110">
        <v>3000</v>
      </c>
      <c r="I19" s="111">
        <f t="shared" ref="I19:I47" si="1">H19</f>
        <v>3000</v>
      </c>
      <c r="J19" s="112" t="s">
        <v>648</v>
      </c>
      <c r="L19" s="143">
        <f>L17</f>
        <v>1500</v>
      </c>
      <c r="M19" s="143" t="s">
        <v>660</v>
      </c>
    </row>
    <row r="20" spans="1:13">
      <c r="A20" s="110">
        <v>16</v>
      </c>
      <c r="B20" s="110"/>
      <c r="C20" s="110"/>
      <c r="D20" s="110"/>
      <c r="E20" s="110"/>
      <c r="F20" s="110"/>
      <c r="G20" s="110"/>
      <c r="H20" s="110">
        <v>6500</v>
      </c>
      <c r="I20" s="111">
        <f t="shared" si="1"/>
        <v>6500</v>
      </c>
      <c r="J20" s="112" t="s">
        <v>373</v>
      </c>
    </row>
    <row r="21" spans="1:13">
      <c r="A21" s="110">
        <v>17</v>
      </c>
      <c r="B21" s="110"/>
      <c r="C21" s="110"/>
      <c r="D21" s="110"/>
      <c r="E21" s="110"/>
      <c r="F21" s="110"/>
      <c r="G21" s="110"/>
      <c r="H21" s="110">
        <v>6500</v>
      </c>
      <c r="I21" s="111">
        <f t="shared" si="1"/>
        <v>6500</v>
      </c>
      <c r="J21" s="112" t="s">
        <v>374</v>
      </c>
      <c r="K21" s="99" t="s">
        <v>659</v>
      </c>
      <c r="L21">
        <v>0</v>
      </c>
    </row>
    <row r="22" spans="1:13">
      <c r="A22" s="360">
        <v>19</v>
      </c>
      <c r="B22" s="360"/>
      <c r="C22" s="360"/>
      <c r="D22" s="360"/>
      <c r="E22" s="360"/>
      <c r="F22" s="360"/>
      <c r="G22" s="360"/>
      <c r="H22" s="360">
        <v>850</v>
      </c>
      <c r="I22" s="101">
        <f t="shared" si="1"/>
        <v>850</v>
      </c>
      <c r="J22" s="102" t="s">
        <v>376</v>
      </c>
    </row>
    <row r="23" spans="1:13">
      <c r="A23" s="110">
        <v>20</v>
      </c>
      <c r="B23" s="110"/>
      <c r="C23" s="110"/>
      <c r="D23" s="110"/>
      <c r="E23" s="110"/>
      <c r="F23" s="110"/>
      <c r="G23" s="110"/>
      <c r="H23" s="110">
        <v>850</v>
      </c>
      <c r="I23" s="111">
        <f t="shared" si="1"/>
        <v>850</v>
      </c>
      <c r="J23" s="112" t="s">
        <v>377</v>
      </c>
      <c r="K23" s="99" t="s">
        <v>662</v>
      </c>
      <c r="L23" t="s">
        <v>663</v>
      </c>
      <c r="M23" t="s">
        <v>664</v>
      </c>
    </row>
    <row r="24" spans="1:13">
      <c r="A24" s="360">
        <v>21</v>
      </c>
      <c r="B24" s="360"/>
      <c r="C24" s="360"/>
      <c r="D24" s="360"/>
      <c r="E24" s="360"/>
      <c r="F24" s="360"/>
      <c r="G24" s="360"/>
      <c r="H24" s="360">
        <v>400</v>
      </c>
      <c r="I24" s="101">
        <f>H24</f>
        <v>400</v>
      </c>
      <c r="J24" s="102" t="s">
        <v>378</v>
      </c>
      <c r="L24" s="361">
        <f>SUM(I25:I44)</f>
        <v>19959</v>
      </c>
      <c r="M24" t="s">
        <v>646</v>
      </c>
    </row>
    <row r="25" spans="1:13">
      <c r="A25" s="360">
        <v>22</v>
      </c>
      <c r="B25" s="360"/>
      <c r="C25" s="360"/>
      <c r="D25" s="360"/>
      <c r="E25" s="360"/>
      <c r="F25" s="360"/>
      <c r="G25" s="360"/>
      <c r="H25" s="360">
        <v>759</v>
      </c>
      <c r="I25" s="101">
        <f t="shared" si="1"/>
        <v>759</v>
      </c>
      <c r="J25" s="102" t="s">
        <v>417</v>
      </c>
      <c r="L25" s="143">
        <f>(L24/0.8)*0.9</f>
        <v>22453.875</v>
      </c>
      <c r="M25" s="143" t="s">
        <v>660</v>
      </c>
    </row>
    <row r="26" spans="1:13">
      <c r="A26" s="360">
        <v>23</v>
      </c>
      <c r="B26" s="360"/>
      <c r="C26" s="360"/>
      <c r="D26" s="360"/>
      <c r="E26" s="360"/>
      <c r="F26" s="360"/>
      <c r="G26" s="360"/>
      <c r="H26" s="360">
        <v>759</v>
      </c>
      <c r="I26" s="101">
        <f t="shared" si="1"/>
        <v>759</v>
      </c>
      <c r="J26" s="102" t="s">
        <v>416</v>
      </c>
    </row>
    <row r="27" spans="1:13">
      <c r="A27" s="360">
        <v>24</v>
      </c>
      <c r="B27" s="360"/>
      <c r="C27" s="360"/>
      <c r="D27" s="360"/>
      <c r="E27" s="360"/>
      <c r="F27" s="360"/>
      <c r="G27" s="360"/>
      <c r="H27" s="360">
        <v>759</v>
      </c>
      <c r="I27" s="101">
        <f t="shared" si="1"/>
        <v>759</v>
      </c>
      <c r="J27" s="102" t="s">
        <v>415</v>
      </c>
      <c r="K27" s="99" t="s">
        <v>665</v>
      </c>
      <c r="L27" s="361">
        <f>SUM(I22:I24)</f>
        <v>2100</v>
      </c>
      <c r="M27" t="s">
        <v>658</v>
      </c>
    </row>
    <row r="28" spans="1:13">
      <c r="A28" s="360">
        <v>25</v>
      </c>
      <c r="B28" s="360"/>
      <c r="C28" s="360"/>
      <c r="D28" s="360"/>
      <c r="E28" s="360"/>
      <c r="F28" s="360"/>
      <c r="G28" s="360"/>
      <c r="H28" s="360">
        <v>759</v>
      </c>
      <c r="I28" s="101">
        <f t="shared" si="1"/>
        <v>759</v>
      </c>
      <c r="J28" s="102" t="s">
        <v>414</v>
      </c>
      <c r="L28" t="s">
        <v>668</v>
      </c>
      <c r="M28" t="s">
        <v>669</v>
      </c>
    </row>
    <row r="29" spans="1:13">
      <c r="A29" s="360">
        <v>26</v>
      </c>
      <c r="B29" s="360"/>
      <c r="C29" s="360"/>
      <c r="D29" s="360"/>
      <c r="E29" s="360"/>
      <c r="F29" s="360"/>
      <c r="G29" s="360"/>
      <c r="H29" s="360">
        <v>759</v>
      </c>
      <c r="I29" s="101">
        <f t="shared" si="1"/>
        <v>759</v>
      </c>
      <c r="J29" s="102" t="s">
        <v>413</v>
      </c>
      <c r="L29" s="143">
        <f>(L27/0.6)*0.8</f>
        <v>2800</v>
      </c>
      <c r="M29" s="143" t="s">
        <v>660</v>
      </c>
    </row>
    <row r="30" spans="1:13">
      <c r="A30" s="360">
        <v>27</v>
      </c>
      <c r="B30" s="360"/>
      <c r="C30" s="360"/>
      <c r="D30" s="360"/>
      <c r="E30" s="360"/>
      <c r="F30" s="360"/>
      <c r="G30" s="360"/>
      <c r="H30" s="360">
        <v>759</v>
      </c>
      <c r="I30" s="101">
        <f t="shared" si="1"/>
        <v>759</v>
      </c>
      <c r="J30" s="102" t="s">
        <v>412</v>
      </c>
    </row>
    <row r="31" spans="1:13">
      <c r="A31" s="360">
        <v>28</v>
      </c>
      <c r="B31" s="360"/>
      <c r="C31" s="360"/>
      <c r="D31" s="360"/>
      <c r="E31" s="360"/>
      <c r="F31" s="360"/>
      <c r="G31" s="360"/>
      <c r="H31" s="360">
        <v>1058</v>
      </c>
      <c r="I31" s="101">
        <f t="shared" si="1"/>
        <v>1058</v>
      </c>
      <c r="J31" s="102" t="s">
        <v>406</v>
      </c>
      <c r="K31" s="99" t="s">
        <v>666</v>
      </c>
      <c r="L31">
        <v>0</v>
      </c>
    </row>
    <row r="32" spans="1:13">
      <c r="A32" s="360">
        <v>29</v>
      </c>
      <c r="B32" s="360"/>
      <c r="C32" s="360"/>
      <c r="D32" s="360"/>
      <c r="E32" s="360"/>
      <c r="F32" s="360"/>
      <c r="G32" s="360"/>
      <c r="H32" s="360">
        <v>759</v>
      </c>
      <c r="I32" s="101">
        <f t="shared" si="1"/>
        <v>759</v>
      </c>
      <c r="J32" s="102" t="s">
        <v>411</v>
      </c>
      <c r="K32" s="99" t="s">
        <v>667</v>
      </c>
      <c r="L32">
        <v>0</v>
      </c>
    </row>
    <row r="33" spans="1:10">
      <c r="A33" s="360">
        <v>30</v>
      </c>
      <c r="B33" s="360"/>
      <c r="C33" s="360"/>
      <c r="D33" s="360"/>
      <c r="E33" s="360"/>
      <c r="F33" s="360"/>
      <c r="G33" s="360"/>
      <c r="H33" s="360">
        <v>759</v>
      </c>
      <c r="I33" s="101">
        <f t="shared" si="1"/>
        <v>759</v>
      </c>
      <c r="J33" s="102" t="s">
        <v>410</v>
      </c>
    </row>
    <row r="34" spans="1:10">
      <c r="A34" s="360">
        <v>31</v>
      </c>
      <c r="B34" s="360"/>
      <c r="C34" s="360"/>
      <c r="D34" s="360"/>
      <c r="E34" s="360"/>
      <c r="F34" s="360"/>
      <c r="G34" s="360"/>
      <c r="H34" s="364">
        <v>1580</v>
      </c>
      <c r="I34" s="101">
        <f t="shared" si="1"/>
        <v>1580</v>
      </c>
      <c r="J34" s="102" t="s">
        <v>407</v>
      </c>
    </row>
    <row r="35" spans="1:10">
      <c r="A35" s="360">
        <v>32</v>
      </c>
      <c r="B35" s="360"/>
      <c r="C35" s="360"/>
      <c r="D35" s="360"/>
      <c r="E35" s="360"/>
      <c r="F35" s="360"/>
      <c r="G35" s="360"/>
      <c r="H35" s="360">
        <v>759</v>
      </c>
      <c r="I35" s="101">
        <f t="shared" si="1"/>
        <v>759</v>
      </c>
      <c r="J35" s="102" t="s">
        <v>409</v>
      </c>
    </row>
    <row r="36" spans="1:10">
      <c r="A36" s="360">
        <v>33</v>
      </c>
      <c r="B36" s="360"/>
      <c r="C36" s="360"/>
      <c r="D36" s="360"/>
      <c r="E36" s="360"/>
      <c r="F36" s="360"/>
      <c r="G36" s="360"/>
      <c r="H36" s="360">
        <v>759</v>
      </c>
      <c r="I36" s="101">
        <f t="shared" si="1"/>
        <v>759</v>
      </c>
      <c r="J36" s="102" t="s">
        <v>408</v>
      </c>
    </row>
    <row r="37" spans="1:10">
      <c r="A37" s="360">
        <v>35</v>
      </c>
      <c r="B37" s="360"/>
      <c r="C37" s="360"/>
      <c r="D37" s="360"/>
      <c r="E37" s="360"/>
      <c r="F37" s="360"/>
      <c r="G37" s="360"/>
      <c r="H37" s="364">
        <v>1058</v>
      </c>
      <c r="I37" s="101">
        <f t="shared" si="1"/>
        <v>1058</v>
      </c>
      <c r="J37" s="102" t="s">
        <v>405</v>
      </c>
    </row>
    <row r="38" spans="1:10">
      <c r="A38" s="360">
        <v>36</v>
      </c>
      <c r="B38" s="360"/>
      <c r="C38" s="360"/>
      <c r="D38" s="360"/>
      <c r="E38" s="360"/>
      <c r="F38" s="360"/>
      <c r="G38" s="360"/>
      <c r="H38" s="364">
        <v>1580</v>
      </c>
      <c r="I38" s="101">
        <f t="shared" si="1"/>
        <v>1580</v>
      </c>
      <c r="J38" s="102" t="s">
        <v>404</v>
      </c>
    </row>
    <row r="39" spans="1:10">
      <c r="A39" s="360">
        <v>37</v>
      </c>
      <c r="B39" s="360"/>
      <c r="C39" s="360"/>
      <c r="D39" s="360"/>
      <c r="E39" s="360"/>
      <c r="F39" s="360"/>
      <c r="G39" s="360"/>
      <c r="H39" s="364">
        <v>1058</v>
      </c>
      <c r="I39" s="101">
        <f t="shared" si="1"/>
        <v>1058</v>
      </c>
      <c r="J39" s="102" t="s">
        <v>403</v>
      </c>
    </row>
    <row r="40" spans="1:10">
      <c r="A40" s="360">
        <v>38</v>
      </c>
      <c r="B40" s="360"/>
      <c r="C40" s="360"/>
      <c r="D40" s="360"/>
      <c r="E40" s="360"/>
      <c r="F40" s="360"/>
      <c r="G40" s="360"/>
      <c r="H40" s="364">
        <v>1058</v>
      </c>
      <c r="I40" s="101">
        <f t="shared" si="1"/>
        <v>1058</v>
      </c>
      <c r="J40" s="102" t="s">
        <v>402</v>
      </c>
    </row>
    <row r="41" spans="1:10">
      <c r="A41" s="360">
        <v>39</v>
      </c>
      <c r="B41" s="360"/>
      <c r="C41" s="360"/>
      <c r="D41" s="360"/>
      <c r="E41" s="360"/>
      <c r="F41" s="360"/>
      <c r="G41" s="360"/>
      <c r="H41" s="360">
        <v>759</v>
      </c>
      <c r="I41" s="101">
        <f t="shared" si="1"/>
        <v>759</v>
      </c>
      <c r="J41" s="102" t="s">
        <v>401</v>
      </c>
    </row>
    <row r="42" spans="1:10">
      <c r="A42" s="360">
        <v>40</v>
      </c>
      <c r="B42" s="360"/>
      <c r="C42" s="360"/>
      <c r="D42" s="360"/>
      <c r="E42" s="360"/>
      <c r="F42" s="360"/>
      <c r="G42" s="360"/>
      <c r="H42" s="364">
        <v>1058</v>
      </c>
      <c r="I42" s="101">
        <f t="shared" si="1"/>
        <v>1058</v>
      </c>
      <c r="J42" s="102" t="s">
        <v>400</v>
      </c>
    </row>
    <row r="43" spans="1:10">
      <c r="A43" s="110">
        <v>41</v>
      </c>
      <c r="B43" s="110"/>
      <c r="C43" s="110"/>
      <c r="D43" s="110"/>
      <c r="E43" s="110"/>
      <c r="F43" s="110"/>
      <c r="G43" s="110"/>
      <c r="H43" s="364">
        <v>1580</v>
      </c>
      <c r="I43" s="111">
        <f>H43</f>
        <v>1580</v>
      </c>
      <c r="J43" s="112" t="s">
        <v>398</v>
      </c>
    </row>
    <row r="44" spans="1:10">
      <c r="A44" s="110">
        <v>42</v>
      </c>
      <c r="B44" s="110"/>
      <c r="C44" s="110"/>
      <c r="D44" s="110"/>
      <c r="E44" s="110"/>
      <c r="F44" s="110"/>
      <c r="G44" s="110"/>
      <c r="H44" s="364">
        <v>1580</v>
      </c>
      <c r="I44" s="111">
        <f>H44</f>
        <v>1580</v>
      </c>
      <c r="J44" s="112" t="s">
        <v>399</v>
      </c>
    </row>
    <row r="45" spans="1:10">
      <c r="A45" s="110">
        <v>43</v>
      </c>
      <c r="B45" s="110"/>
      <c r="C45" s="110"/>
      <c r="D45" s="110"/>
      <c r="E45" s="110"/>
      <c r="F45" s="110"/>
      <c r="G45" s="110"/>
      <c r="H45" s="365">
        <v>280</v>
      </c>
      <c r="I45" s="111">
        <f>H45</f>
        <v>280</v>
      </c>
      <c r="J45" s="112" t="s">
        <v>380</v>
      </c>
    </row>
    <row r="46" spans="1:10">
      <c r="A46" s="360">
        <v>44</v>
      </c>
      <c r="B46" s="360"/>
      <c r="C46" s="360"/>
      <c r="D46" s="360"/>
      <c r="E46" s="360"/>
      <c r="F46" s="360"/>
      <c r="G46" s="360"/>
      <c r="H46" s="360">
        <v>280</v>
      </c>
      <c r="I46" s="101">
        <f t="shared" si="1"/>
        <v>280</v>
      </c>
      <c r="J46" s="102" t="s">
        <v>381</v>
      </c>
    </row>
    <row r="47" spans="1:10">
      <c r="A47" s="360">
        <v>45</v>
      </c>
      <c r="B47" s="360"/>
      <c r="C47" s="360"/>
      <c r="D47" s="360"/>
      <c r="E47" s="360"/>
      <c r="F47" s="360"/>
      <c r="G47" s="360"/>
      <c r="H47" s="360">
        <v>1500</v>
      </c>
      <c r="I47" s="101">
        <f t="shared" si="1"/>
        <v>1500</v>
      </c>
      <c r="J47" s="102" t="s">
        <v>383</v>
      </c>
    </row>
    <row r="48" spans="1:10">
      <c r="A48" s="113"/>
      <c r="B48" s="103"/>
      <c r="C48" s="103"/>
      <c r="D48" s="103"/>
      <c r="E48" s="103"/>
      <c r="F48" s="103"/>
      <c r="G48" s="103"/>
      <c r="H48" s="103"/>
      <c r="I48" s="363">
        <f>SUM(I5:I47)</f>
        <v>72279</v>
      </c>
      <c r="J48" s="105"/>
    </row>
    <row r="49" spans="1:10">
      <c r="A49" s="20"/>
      <c r="B49" s="96"/>
      <c r="C49" s="99"/>
      <c r="D49" s="96"/>
      <c r="E49" s="96"/>
      <c r="H49" s="96"/>
      <c r="I49" s="98"/>
      <c r="J49" s="97"/>
    </row>
    <row r="50" spans="1:10">
      <c r="A50" s="20"/>
      <c r="B50" s="96"/>
      <c r="C50" s="96"/>
      <c r="D50" s="96"/>
      <c r="E50" s="96"/>
      <c r="F50" s="96"/>
      <c r="G50" s="96"/>
      <c r="H50" s="96"/>
      <c r="I50" s="98"/>
      <c r="J50" s="97"/>
    </row>
    <row r="51" spans="1:10">
      <c r="B51" s="96"/>
      <c r="C51" s="96"/>
      <c r="D51" s="96"/>
      <c r="E51" s="96"/>
      <c r="F51" s="96"/>
      <c r="G51" s="96"/>
      <c r="H51" s="96"/>
      <c r="I51" s="98"/>
      <c r="J51" s="97"/>
    </row>
    <row r="52" spans="1:10">
      <c r="A52" s="96"/>
      <c r="B52" s="96"/>
      <c r="C52" s="96"/>
      <c r="D52" s="96"/>
      <c r="E52" s="96"/>
      <c r="F52" s="96"/>
      <c r="G52" s="96"/>
      <c r="H52" s="96"/>
      <c r="I52" s="96"/>
      <c r="J52" s="97"/>
    </row>
    <row r="53" spans="1:10">
      <c r="A53" s="96"/>
      <c r="B53" s="96"/>
      <c r="C53" s="96"/>
      <c r="D53" s="96"/>
      <c r="E53" s="96"/>
      <c r="F53" s="96"/>
      <c r="G53" s="96"/>
      <c r="H53" s="96"/>
      <c r="I53" s="96"/>
      <c r="J53" s="97"/>
    </row>
    <row r="54" spans="1:10">
      <c r="J54" s="97"/>
    </row>
    <row r="55" spans="1:10">
      <c r="J55" s="97"/>
    </row>
    <row r="56" spans="1:10">
      <c r="J56" s="97"/>
    </row>
    <row r="57" spans="1:10">
      <c r="J57" s="97"/>
    </row>
    <row r="58" spans="1:10">
      <c r="J58" s="97"/>
    </row>
    <row r="59" spans="1:10">
      <c r="J59" s="97"/>
    </row>
    <row r="60" spans="1:10">
      <c r="J60" s="97"/>
    </row>
    <row r="61" spans="1:10">
      <c r="J61" s="97"/>
    </row>
    <row r="62" spans="1:10">
      <c r="J62" s="97"/>
    </row>
  </sheetData>
  <mergeCells count="12">
    <mergeCell ref="A1:J1"/>
    <mergeCell ref="A2:A4"/>
    <mergeCell ref="B2:B4"/>
    <mergeCell ref="C2:E2"/>
    <mergeCell ref="F2:H2"/>
    <mergeCell ref="I2:I4"/>
    <mergeCell ref="J2:J4"/>
    <mergeCell ref="C3:C4"/>
    <mergeCell ref="D3:D4"/>
    <mergeCell ref="E3:E4"/>
    <mergeCell ref="F3:G3"/>
    <mergeCell ref="H3:H4"/>
  </mergeCells>
  <printOptions horizontalCentered="1"/>
  <pageMargins left="0" right="0" top="0.78740157480314965" bottom="0.78740157480314965" header="0.31496062992125984" footer="0.31496062992125984"/>
  <pageSetup scale="48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M193"/>
  <sheetViews>
    <sheetView topLeftCell="A100" workbookViewId="0">
      <selection activeCell="P136" sqref="P136"/>
    </sheetView>
  </sheetViews>
  <sheetFormatPr defaultColWidth="14.42578125" defaultRowHeight="15.75" customHeight="1"/>
  <cols>
    <col min="1" max="1" width="7.85546875" style="3" customWidth="1"/>
    <col min="2" max="2" width="12.28515625" style="3" hidden="1" customWidth="1"/>
    <col min="3" max="3" width="9.85546875" style="3" hidden="1" customWidth="1"/>
    <col min="4" max="4" width="55.28515625" style="3" customWidth="1"/>
    <col min="5" max="5" width="10.7109375" style="3" customWidth="1"/>
    <col min="6" max="6" width="10.7109375" style="3" hidden="1" customWidth="1"/>
    <col min="7" max="9" width="10.7109375" style="3" customWidth="1"/>
    <col min="10" max="16384" width="14.42578125" style="3"/>
  </cols>
  <sheetData>
    <row r="1" spans="1:13" ht="15" customHeight="1">
      <c r="A1" s="252" t="s">
        <v>329</v>
      </c>
      <c r="B1" s="253"/>
      <c r="C1" s="254"/>
      <c r="D1" s="253"/>
      <c r="E1" s="255" t="s">
        <v>330</v>
      </c>
      <c r="F1" s="253"/>
      <c r="G1" s="253"/>
      <c r="H1" s="253"/>
      <c r="I1" s="256"/>
    </row>
    <row r="2" spans="1:13" ht="15" customHeight="1">
      <c r="A2" s="257" t="s">
        <v>340</v>
      </c>
      <c r="B2" s="30"/>
      <c r="C2" s="31"/>
      <c r="D2" s="60"/>
      <c r="E2" s="59" t="s">
        <v>331</v>
      </c>
      <c r="F2" s="60"/>
      <c r="G2" s="60"/>
      <c r="H2" s="60"/>
      <c r="I2" s="114"/>
    </row>
    <row r="3" spans="1:13" ht="5.25" customHeight="1">
      <c r="A3" s="258"/>
      <c r="B3" s="251"/>
      <c r="C3" s="251"/>
      <c r="D3" s="115"/>
      <c r="E3" s="115"/>
      <c r="F3" s="115"/>
      <c r="G3" s="115"/>
      <c r="H3" s="115"/>
      <c r="I3" s="116"/>
    </row>
    <row r="4" spans="1:13" ht="27" customHeight="1">
      <c r="A4" s="387" t="s">
        <v>597</v>
      </c>
      <c r="B4" s="388"/>
      <c r="C4" s="388"/>
      <c r="D4" s="388"/>
      <c r="E4" s="388"/>
      <c r="F4" s="388"/>
      <c r="G4" s="388"/>
      <c r="H4" s="388"/>
      <c r="I4" s="389"/>
    </row>
    <row r="5" spans="1:13" s="5" customFormat="1" ht="24" customHeight="1">
      <c r="A5" s="393" t="s">
        <v>3</v>
      </c>
      <c r="B5" s="395" t="s">
        <v>4</v>
      </c>
      <c r="C5" s="395" t="s">
        <v>5</v>
      </c>
      <c r="D5" s="395" t="s">
        <v>6</v>
      </c>
      <c r="E5" s="395" t="s">
        <v>2</v>
      </c>
      <c r="F5" s="397" t="s">
        <v>7</v>
      </c>
      <c r="G5" s="390" t="s">
        <v>335</v>
      </c>
      <c r="H5" s="391"/>
      <c r="I5" s="392"/>
    </row>
    <row r="6" spans="1:13" s="5" customFormat="1" ht="22.5">
      <c r="A6" s="394"/>
      <c r="B6" s="396"/>
      <c r="C6" s="396"/>
      <c r="D6" s="396"/>
      <c r="E6" s="396"/>
      <c r="F6" s="398"/>
      <c r="G6" s="259" t="s">
        <v>346</v>
      </c>
      <c r="H6" s="260" t="s">
        <v>334</v>
      </c>
      <c r="I6" s="261" t="s">
        <v>135</v>
      </c>
    </row>
    <row r="7" spans="1:13" s="5" customFormat="1" ht="12.75">
      <c r="A7" s="33">
        <v>1</v>
      </c>
      <c r="B7" s="33"/>
      <c r="C7" s="33"/>
      <c r="D7" s="33" t="s">
        <v>15</v>
      </c>
      <c r="E7" s="79"/>
      <c r="F7" s="80"/>
      <c r="G7" s="81"/>
      <c r="H7" s="80"/>
      <c r="I7" s="118">
        <f>I8</f>
        <v>47988.6</v>
      </c>
      <c r="K7" s="3" t="s">
        <v>574</v>
      </c>
    </row>
    <row r="8" spans="1:13" s="5" customFormat="1" ht="12.75">
      <c r="A8" s="35" t="s">
        <v>23</v>
      </c>
      <c r="B8" s="36"/>
      <c r="C8" s="37"/>
      <c r="D8" s="38" t="s">
        <v>235</v>
      </c>
      <c r="E8" s="32"/>
      <c r="F8" s="9"/>
      <c r="G8" s="11"/>
      <c r="H8" s="8"/>
      <c r="I8" s="119">
        <f>SUM(I9:I10)</f>
        <v>47988.6</v>
      </c>
      <c r="K8" s="3" t="s">
        <v>575</v>
      </c>
    </row>
    <row r="9" spans="1:13" s="5" customFormat="1" ht="12.75">
      <c r="A9" s="41" t="s">
        <v>233</v>
      </c>
      <c r="B9" s="42" t="s">
        <v>0</v>
      </c>
      <c r="C9" s="43">
        <v>90778</v>
      </c>
      <c r="D9" s="44" t="s">
        <v>231</v>
      </c>
      <c r="E9" s="43" t="s">
        <v>10</v>
      </c>
      <c r="F9" s="45">
        <v>99.6</v>
      </c>
      <c r="G9" s="46">
        <v>110.03</v>
      </c>
      <c r="H9" s="47">
        <f>2*22*3</f>
        <v>132</v>
      </c>
      <c r="I9" s="48">
        <f>G9*H9</f>
        <v>14523.960000000001</v>
      </c>
      <c r="K9" s="5" t="s">
        <v>524</v>
      </c>
    </row>
    <row r="10" spans="1:13" s="5" customFormat="1" ht="12.75">
      <c r="A10" s="41" t="s">
        <v>234</v>
      </c>
      <c r="B10" s="42" t="s">
        <v>0</v>
      </c>
      <c r="C10" s="43">
        <v>90780</v>
      </c>
      <c r="D10" s="44" t="s">
        <v>232</v>
      </c>
      <c r="E10" s="43" t="s">
        <v>10</v>
      </c>
      <c r="F10" s="45">
        <v>57.37</v>
      </c>
      <c r="G10" s="46">
        <v>63.38</v>
      </c>
      <c r="H10" s="47">
        <f>8*22*3</f>
        <v>528</v>
      </c>
      <c r="I10" s="48">
        <f>G10*H10</f>
        <v>33464.639999999999</v>
      </c>
      <c r="K10" s="3" t="s">
        <v>525</v>
      </c>
      <c r="L10" s="3"/>
      <c r="M10" s="3"/>
    </row>
    <row r="11" spans="1:13" s="5" customFormat="1" ht="12.75">
      <c r="A11" s="33">
        <v>2</v>
      </c>
      <c r="B11" s="33"/>
      <c r="C11" s="33"/>
      <c r="D11" s="33" t="s">
        <v>14</v>
      </c>
      <c r="E11" s="79"/>
      <c r="F11" s="80"/>
      <c r="G11" s="81"/>
      <c r="H11" s="80"/>
      <c r="I11" s="118">
        <f>SUM(I12,I15)</f>
        <v>48634.65</v>
      </c>
      <c r="K11" s="3" t="s">
        <v>549</v>
      </c>
    </row>
    <row r="12" spans="1:13" s="5" customFormat="1" ht="12.75">
      <c r="A12" s="35" t="s">
        <v>24</v>
      </c>
      <c r="B12" s="36"/>
      <c r="C12" s="37"/>
      <c r="D12" s="38" t="s">
        <v>38</v>
      </c>
      <c r="E12" s="32"/>
      <c r="F12" s="9"/>
      <c r="G12" s="11"/>
      <c r="H12" s="8"/>
      <c r="I12" s="119">
        <f>SUM(I13:I14)</f>
        <v>12659.01</v>
      </c>
      <c r="K12" s="3"/>
    </row>
    <row r="13" spans="1:13" s="5" customFormat="1" ht="22.5">
      <c r="A13" s="41" t="s">
        <v>39</v>
      </c>
      <c r="B13" s="42" t="s">
        <v>0</v>
      </c>
      <c r="C13" s="43">
        <v>93212</v>
      </c>
      <c r="D13" s="53" t="s">
        <v>17</v>
      </c>
      <c r="E13" s="43" t="s">
        <v>16</v>
      </c>
      <c r="F13" s="45">
        <v>678.84</v>
      </c>
      <c r="G13" s="46">
        <v>749.94</v>
      </c>
      <c r="H13" s="47">
        <v>4</v>
      </c>
      <c r="I13" s="48">
        <f>G13*H13</f>
        <v>2999.76</v>
      </c>
      <c r="K13" s="3" t="s">
        <v>578</v>
      </c>
    </row>
    <row r="14" spans="1:13" s="5" customFormat="1" ht="22.5">
      <c r="A14" s="41" t="s">
        <v>40</v>
      </c>
      <c r="B14" s="42" t="s">
        <v>0</v>
      </c>
      <c r="C14" s="43">
        <v>93584</v>
      </c>
      <c r="D14" s="53" t="s">
        <v>18</v>
      </c>
      <c r="E14" s="43" t="s">
        <v>16</v>
      </c>
      <c r="F14" s="45">
        <v>582.89</v>
      </c>
      <c r="G14" s="46">
        <v>643.95000000000005</v>
      </c>
      <c r="H14" s="47">
        <v>15</v>
      </c>
      <c r="I14" s="48">
        <f>G14*H14</f>
        <v>9659.25</v>
      </c>
      <c r="K14" s="3" t="s">
        <v>550</v>
      </c>
    </row>
    <row r="15" spans="1:13" s="5" customFormat="1" ht="12.75">
      <c r="A15" s="35" t="s">
        <v>25</v>
      </c>
      <c r="B15" s="36"/>
      <c r="C15" s="37"/>
      <c r="D15" s="38" t="s">
        <v>238</v>
      </c>
      <c r="E15" s="37"/>
      <c r="F15" s="39"/>
      <c r="G15" s="40"/>
      <c r="H15" s="51"/>
      <c r="I15" s="52">
        <f>SUM(I16:I17)</f>
        <v>35975.64</v>
      </c>
      <c r="K15" s="3" t="s">
        <v>554</v>
      </c>
    </row>
    <row r="16" spans="1:13" s="5" customFormat="1" ht="12.75">
      <c r="A16" s="41" t="s">
        <v>236</v>
      </c>
      <c r="B16" s="42" t="s">
        <v>0</v>
      </c>
      <c r="C16" s="43">
        <v>98459</v>
      </c>
      <c r="D16" s="53" t="s">
        <v>19</v>
      </c>
      <c r="E16" s="43" t="s">
        <v>16</v>
      </c>
      <c r="F16" s="45">
        <v>86.51</v>
      </c>
      <c r="G16" s="46">
        <v>95.57</v>
      </c>
      <c r="H16" s="47">
        <v>360</v>
      </c>
      <c r="I16" s="46">
        <f>G16*H16</f>
        <v>34405.199999999997</v>
      </c>
    </row>
    <row r="17" spans="1:12" s="5" customFormat="1" ht="12.75">
      <c r="A17" s="41" t="s">
        <v>237</v>
      </c>
      <c r="B17" s="42" t="s">
        <v>0</v>
      </c>
      <c r="C17" s="43" t="s">
        <v>53</v>
      </c>
      <c r="D17" s="53" t="s">
        <v>20</v>
      </c>
      <c r="E17" s="43" t="s">
        <v>16</v>
      </c>
      <c r="F17" s="45">
        <v>236.93</v>
      </c>
      <c r="G17" s="46">
        <v>261.74</v>
      </c>
      <c r="H17" s="47">
        <v>6</v>
      </c>
      <c r="I17" s="46">
        <f>G17*H17</f>
        <v>1570.44</v>
      </c>
    </row>
    <row r="18" spans="1:12" s="5" customFormat="1" ht="12.75">
      <c r="A18" s="33">
        <v>3</v>
      </c>
      <c r="B18" s="33"/>
      <c r="C18" s="33"/>
      <c r="D18" s="54" t="s">
        <v>21</v>
      </c>
      <c r="E18" s="79"/>
      <c r="F18" s="80"/>
      <c r="G18" s="81"/>
      <c r="H18" s="80"/>
      <c r="I18" s="118">
        <f>I19</f>
        <v>6660.3744000000006</v>
      </c>
      <c r="K18" s="5" t="s">
        <v>590</v>
      </c>
    </row>
    <row r="19" spans="1:12" s="5" customFormat="1" ht="12.75">
      <c r="A19" s="35" t="s">
        <v>26</v>
      </c>
      <c r="B19" s="36"/>
      <c r="C19" s="37"/>
      <c r="D19" s="38" t="s">
        <v>240</v>
      </c>
      <c r="E19" s="32"/>
      <c r="F19" s="9"/>
      <c r="G19" s="11"/>
      <c r="H19" s="8"/>
      <c r="I19" s="119">
        <f>SUM(I20:I23)</f>
        <v>6660.3744000000006</v>
      </c>
    </row>
    <row r="20" spans="1:12" s="5" customFormat="1" ht="12.75">
      <c r="A20" s="41" t="s">
        <v>239</v>
      </c>
      <c r="B20" s="42" t="s">
        <v>0</v>
      </c>
      <c r="C20" s="43" t="s">
        <v>136</v>
      </c>
      <c r="D20" s="53" t="s">
        <v>137</v>
      </c>
      <c r="E20" s="43" t="s">
        <v>16</v>
      </c>
      <c r="F20" s="46">
        <v>1.38</v>
      </c>
      <c r="G20" s="46">
        <v>1.52</v>
      </c>
      <c r="H20" s="47">
        <v>1263.47</v>
      </c>
      <c r="I20" s="46">
        <f>G20*H20</f>
        <v>1920.4744000000001</v>
      </c>
    </row>
    <row r="21" spans="1:12" s="5" customFormat="1" ht="12.75">
      <c r="A21" s="127" t="s">
        <v>509</v>
      </c>
      <c r="B21" s="128"/>
      <c r="C21" s="128"/>
      <c r="D21" s="129" t="s">
        <v>510</v>
      </c>
      <c r="E21" s="128" t="s">
        <v>186</v>
      </c>
      <c r="F21" s="130">
        <v>1.38</v>
      </c>
      <c r="G21" s="130">
        <v>52.12</v>
      </c>
      <c r="H21" s="131">
        <v>25</v>
      </c>
      <c r="I21" s="130">
        <f>G21*H21</f>
        <v>1303</v>
      </c>
    </row>
    <row r="22" spans="1:12" s="5" customFormat="1" ht="22.5">
      <c r="A22" s="127" t="s">
        <v>586</v>
      </c>
      <c r="B22" s="128"/>
      <c r="C22" s="128"/>
      <c r="D22" s="129" t="s">
        <v>588</v>
      </c>
      <c r="E22" s="154" t="s">
        <v>11</v>
      </c>
      <c r="F22" s="130">
        <v>1.38</v>
      </c>
      <c r="G22" s="204">
        <v>150</v>
      </c>
      <c r="H22" s="136">
        <v>14</v>
      </c>
      <c r="I22" s="130">
        <f t="shared" ref="I22" si="0">G22*H22</f>
        <v>2100</v>
      </c>
    </row>
    <row r="23" spans="1:12" s="5" customFormat="1" ht="12.75">
      <c r="A23" s="127" t="s">
        <v>587</v>
      </c>
      <c r="B23" s="128"/>
      <c r="C23" s="128"/>
      <c r="D23" s="129" t="s">
        <v>589</v>
      </c>
      <c r="E23" s="154" t="s">
        <v>16</v>
      </c>
      <c r="F23" s="130">
        <v>2.38</v>
      </c>
      <c r="G23" s="204">
        <v>4.6100000000000003</v>
      </c>
      <c r="H23" s="131">
        <f>H58</f>
        <v>290</v>
      </c>
      <c r="I23" s="130">
        <f t="shared" ref="I23" si="1">G23*H23</f>
        <v>1336.9</v>
      </c>
    </row>
    <row r="24" spans="1:12" s="5" customFormat="1" ht="12.75">
      <c r="A24" s="33">
        <v>4</v>
      </c>
      <c r="B24" s="33"/>
      <c r="C24" s="33"/>
      <c r="D24" s="54" t="s">
        <v>50</v>
      </c>
      <c r="E24" s="79"/>
      <c r="F24" s="80"/>
      <c r="G24" s="81"/>
      <c r="H24" s="80"/>
      <c r="I24" s="118">
        <f>SUM(I25,I31)</f>
        <v>106015.33870000001</v>
      </c>
    </row>
    <row r="25" spans="1:12" s="5" customFormat="1" ht="12.75">
      <c r="A25" s="35" t="s">
        <v>27</v>
      </c>
      <c r="B25" s="36"/>
      <c r="C25" s="37"/>
      <c r="D25" s="38" t="s">
        <v>68</v>
      </c>
      <c r="E25" s="32"/>
      <c r="F25" s="9"/>
      <c r="G25" s="11"/>
      <c r="H25" s="8"/>
      <c r="I25" s="119">
        <f>SUM(I26:I30)</f>
        <v>91319.85070000001</v>
      </c>
    </row>
    <row r="26" spans="1:12" s="5" customFormat="1" ht="22.5">
      <c r="A26" s="41" t="s">
        <v>69</v>
      </c>
      <c r="B26" s="42" t="s">
        <v>0</v>
      </c>
      <c r="C26" s="43">
        <v>96359</v>
      </c>
      <c r="D26" s="53" t="s">
        <v>48</v>
      </c>
      <c r="E26" s="43" t="s">
        <v>16</v>
      </c>
      <c r="F26" s="45">
        <v>99.65</v>
      </c>
      <c r="G26" s="46">
        <v>110.09</v>
      </c>
      <c r="H26" s="136">
        <f>'MC - TA01'!E9</f>
        <v>375.71999999999997</v>
      </c>
      <c r="I26" s="46">
        <f>G26*H26</f>
        <v>41363.014799999997</v>
      </c>
      <c r="K26" s="47"/>
    </row>
    <row r="27" spans="1:12" s="5" customFormat="1" ht="22.5">
      <c r="A27" s="41" t="s">
        <v>70</v>
      </c>
      <c r="B27" s="43" t="s">
        <v>22</v>
      </c>
      <c r="C27" s="43">
        <v>1</v>
      </c>
      <c r="D27" s="44" t="s">
        <v>138</v>
      </c>
      <c r="E27" s="43" t="s">
        <v>16</v>
      </c>
      <c r="F27" s="45">
        <f>[2]COMPOSIÇÕES!G7</f>
        <v>125.300318</v>
      </c>
      <c r="G27" s="46">
        <v>138.41999999999999</v>
      </c>
      <c r="H27" s="136">
        <f>'MC - TA01'!E14-H28</f>
        <v>150.84</v>
      </c>
      <c r="I27" s="46">
        <f>G27*H27</f>
        <v>20879.272799999999</v>
      </c>
      <c r="K27" s="47"/>
      <c r="L27" s="203">
        <f>SUM(H26:H28)</f>
        <v>607.55999999999995</v>
      </c>
    </row>
    <row r="28" spans="1:12" s="5" customFormat="1" ht="22.5">
      <c r="A28" s="194" t="s">
        <v>71</v>
      </c>
      <c r="B28" s="196" t="s">
        <v>22</v>
      </c>
      <c r="C28" s="196">
        <v>2</v>
      </c>
      <c r="D28" s="192" t="s">
        <v>49</v>
      </c>
      <c r="E28" s="196" t="s">
        <v>16</v>
      </c>
      <c r="F28" s="198">
        <f>[2]COMPOSIÇÕES!G21</f>
        <v>112.49583799999999</v>
      </c>
      <c r="G28" s="199">
        <v>124.28</v>
      </c>
      <c r="H28" s="136">
        <v>81</v>
      </c>
      <c r="I28" s="199">
        <f>G28*H28</f>
        <v>10066.68</v>
      </c>
      <c r="K28" s="47"/>
    </row>
    <row r="29" spans="1:12" s="5" customFormat="1" ht="12.75">
      <c r="A29" s="41" t="s">
        <v>72</v>
      </c>
      <c r="B29" s="42" t="s">
        <v>0</v>
      </c>
      <c r="C29" s="43">
        <v>96372</v>
      </c>
      <c r="D29" s="53" t="s">
        <v>390</v>
      </c>
      <c r="E29" s="43" t="s">
        <v>16</v>
      </c>
      <c r="F29" s="45">
        <v>27.81</v>
      </c>
      <c r="G29" s="46">
        <v>30.71</v>
      </c>
      <c r="H29" s="136">
        <f>'MC - TA01'!E19</f>
        <v>607.55999999999995</v>
      </c>
      <c r="I29" s="46">
        <f>G29*H29</f>
        <v>18658.167599999997</v>
      </c>
    </row>
    <row r="30" spans="1:12" s="5" customFormat="1" ht="12.75">
      <c r="A30" s="41" t="s">
        <v>73</v>
      </c>
      <c r="B30" s="42" t="s">
        <v>0</v>
      </c>
      <c r="C30" s="43">
        <v>96373</v>
      </c>
      <c r="D30" s="53" t="s">
        <v>442</v>
      </c>
      <c r="E30" s="43" t="s">
        <v>13</v>
      </c>
      <c r="F30" s="45">
        <v>7.73</v>
      </c>
      <c r="G30" s="46">
        <v>8.5299999999999994</v>
      </c>
      <c r="H30" s="136">
        <f>'MC - TA01'!F42</f>
        <v>41.349999999999994</v>
      </c>
      <c r="I30" s="46">
        <f>G30*H30</f>
        <v>352.71549999999991</v>
      </c>
    </row>
    <row r="31" spans="1:12" s="5" customFormat="1" ht="12.75">
      <c r="A31" s="35" t="s">
        <v>28</v>
      </c>
      <c r="B31" s="36"/>
      <c r="C31" s="37"/>
      <c r="D31" s="38" t="s">
        <v>242</v>
      </c>
      <c r="E31" s="32"/>
      <c r="F31" s="9"/>
      <c r="G31" s="11"/>
      <c r="H31" s="8"/>
      <c r="I31" s="119">
        <f>SUM(I33)</f>
        <v>14695.488000000001</v>
      </c>
    </row>
    <row r="32" spans="1:12" s="5" customFormat="1" ht="22.5">
      <c r="A32" s="120" t="s">
        <v>241</v>
      </c>
      <c r="B32" s="121" t="s">
        <v>0</v>
      </c>
      <c r="C32" s="122" t="s">
        <v>309</v>
      </c>
      <c r="D32" s="123" t="s">
        <v>310</v>
      </c>
      <c r="E32" s="122" t="s">
        <v>16</v>
      </c>
      <c r="F32" s="124">
        <v>322.72000000000003</v>
      </c>
      <c r="G32" s="125">
        <v>356.52</v>
      </c>
      <c r="H32" s="126">
        <v>21</v>
      </c>
      <c r="I32" s="125">
        <f>G32*H32</f>
        <v>7486.92</v>
      </c>
    </row>
    <row r="33" spans="1:11" s="5" customFormat="1" ht="22.5">
      <c r="A33" s="127" t="s">
        <v>241</v>
      </c>
      <c r="B33" s="128" t="s">
        <v>0</v>
      </c>
      <c r="C33" s="128" t="s">
        <v>309</v>
      </c>
      <c r="D33" s="129" t="s">
        <v>389</v>
      </c>
      <c r="E33" s="128" t="s">
        <v>16</v>
      </c>
      <c r="F33" s="130">
        <v>322.72000000000003</v>
      </c>
      <c r="G33" s="204">
        <v>823</v>
      </c>
      <c r="H33" s="131">
        <f>'MC - TA01'!G49</f>
        <v>17.856000000000002</v>
      </c>
      <c r="I33" s="130">
        <f>G33*H33</f>
        <v>14695.488000000001</v>
      </c>
    </row>
    <row r="34" spans="1:11" s="5" customFormat="1" ht="12.75">
      <c r="A34" s="33">
        <v>5</v>
      </c>
      <c r="B34" s="33"/>
      <c r="C34" s="33"/>
      <c r="D34" s="54" t="s">
        <v>31</v>
      </c>
      <c r="E34" s="79"/>
      <c r="F34" s="80"/>
      <c r="G34" s="81"/>
      <c r="H34" s="80"/>
      <c r="I34" s="118">
        <f>SUM(I35,I43,I47,I50)</f>
        <v>96165.35592692002</v>
      </c>
    </row>
    <row r="35" spans="1:11" s="10" customFormat="1" ht="12.75">
      <c r="A35" s="35" t="s">
        <v>32</v>
      </c>
      <c r="B35" s="36"/>
      <c r="C35" s="37"/>
      <c r="D35" s="38" t="s">
        <v>78</v>
      </c>
      <c r="E35" s="32"/>
      <c r="F35" s="9"/>
      <c r="G35" s="11"/>
      <c r="H35" s="8"/>
      <c r="I35" s="119">
        <f>SUM(I36:I42)</f>
        <v>20772.617666919999</v>
      </c>
    </row>
    <row r="36" spans="1:11" s="5" customFormat="1" ht="33.75">
      <c r="A36" s="41" t="s">
        <v>75</v>
      </c>
      <c r="B36" s="42" t="s">
        <v>22</v>
      </c>
      <c r="C36" s="43">
        <f>[2]COMPOSIÇÕES!B53</f>
        <v>5</v>
      </c>
      <c r="D36" s="53" t="s">
        <v>393</v>
      </c>
      <c r="E36" s="43" t="s">
        <v>16</v>
      </c>
      <c r="F36" s="45">
        <f>[2]COMPOSIÇÕES!G53</f>
        <v>81.936199999999985</v>
      </c>
      <c r="G36" s="46">
        <v>93.83</v>
      </c>
      <c r="H36" s="131">
        <v>133</v>
      </c>
      <c r="I36" s="46">
        <f>G36*H36</f>
        <v>12479.39</v>
      </c>
    </row>
    <row r="37" spans="1:11" s="5" customFormat="1" ht="12.75">
      <c r="A37" s="41" t="s">
        <v>76</v>
      </c>
      <c r="B37" s="42" t="s">
        <v>0</v>
      </c>
      <c r="C37" s="43">
        <v>88649</v>
      </c>
      <c r="D37" s="53" t="s">
        <v>308</v>
      </c>
      <c r="E37" s="43" t="s">
        <v>13</v>
      </c>
      <c r="F37" s="45">
        <v>5.12</v>
      </c>
      <c r="G37" s="46">
        <v>5.65</v>
      </c>
      <c r="H37" s="131">
        <f>'MC - TA01'!B71</f>
        <v>335.4</v>
      </c>
      <c r="I37" s="46">
        <f>G37*H37</f>
        <v>1895.01</v>
      </c>
    </row>
    <row r="38" spans="1:11" s="5" customFormat="1" ht="12.75">
      <c r="A38" s="41" t="s">
        <v>77</v>
      </c>
      <c r="B38" s="42" t="s">
        <v>0</v>
      </c>
      <c r="C38" s="43">
        <v>98689</v>
      </c>
      <c r="D38" s="53" t="s">
        <v>394</v>
      </c>
      <c r="E38" s="43" t="s">
        <v>13</v>
      </c>
      <c r="F38" s="45">
        <v>87.61</v>
      </c>
      <c r="G38" s="46">
        <v>96.78</v>
      </c>
      <c r="H38" s="131">
        <f>'MC - TA01'!C79</f>
        <v>3.5</v>
      </c>
      <c r="I38" s="46">
        <f>G38*H38</f>
        <v>338.73</v>
      </c>
    </row>
    <row r="39" spans="1:11" s="5" customFormat="1" ht="12.75">
      <c r="A39" s="127" t="s">
        <v>327</v>
      </c>
      <c r="B39" s="128"/>
      <c r="C39" s="128"/>
      <c r="D39" s="129" t="s">
        <v>485</v>
      </c>
      <c r="E39" s="132" t="s">
        <v>13</v>
      </c>
      <c r="F39" s="133"/>
      <c r="G39" s="204">
        <f>((G38/15)*10)</f>
        <v>64.52</v>
      </c>
      <c r="H39" s="131">
        <f>'MC - TA01'!C90</f>
        <v>6</v>
      </c>
      <c r="I39" s="130">
        <f t="shared" ref="I39:I42" si="2">G39*H39</f>
        <v>387.12</v>
      </c>
    </row>
    <row r="40" spans="1:11" s="5" customFormat="1" ht="12.75">
      <c r="A40" s="127" t="s">
        <v>392</v>
      </c>
      <c r="B40" s="128"/>
      <c r="C40" s="128"/>
      <c r="D40" s="129" t="s">
        <v>488</v>
      </c>
      <c r="E40" s="132" t="s">
        <v>13</v>
      </c>
      <c r="F40" s="133"/>
      <c r="G40" s="204">
        <f>G39*2</f>
        <v>129.04</v>
      </c>
      <c r="H40" s="131">
        <f>'MC - TA01'!C97</f>
        <v>5.3</v>
      </c>
      <c r="I40" s="130">
        <f t="shared" si="2"/>
        <v>683.91199999999992</v>
      </c>
    </row>
    <row r="41" spans="1:11" s="5" customFormat="1" ht="22.5">
      <c r="A41" s="127" t="s">
        <v>395</v>
      </c>
      <c r="B41" s="128"/>
      <c r="C41" s="128"/>
      <c r="D41" s="129" t="s">
        <v>396</v>
      </c>
      <c r="E41" s="132" t="s">
        <v>16</v>
      </c>
      <c r="F41" s="133"/>
      <c r="G41" s="204">
        <f>102.19*1.212</f>
        <v>123.85427999999999</v>
      </c>
      <c r="H41" s="131">
        <f>'MC - TA01'!C103</f>
        <v>3.7889999999999997</v>
      </c>
      <c r="I41" s="130">
        <f t="shared" si="2"/>
        <v>469.28386691999992</v>
      </c>
    </row>
    <row r="42" spans="1:11" s="5" customFormat="1" ht="12.75">
      <c r="A42" s="127" t="s">
        <v>487</v>
      </c>
      <c r="B42" s="128"/>
      <c r="C42" s="128"/>
      <c r="D42" s="129" t="s">
        <v>498</v>
      </c>
      <c r="E42" s="132" t="s">
        <v>16</v>
      </c>
      <c r="F42" s="133"/>
      <c r="G42" s="204">
        <f>9.57+3.3</f>
        <v>12.870000000000001</v>
      </c>
      <c r="H42" s="131">
        <f>'MC - TA01'!F109</f>
        <v>351.14</v>
      </c>
      <c r="I42" s="130">
        <f t="shared" si="2"/>
        <v>4519.1718000000001</v>
      </c>
    </row>
    <row r="43" spans="1:11" s="10" customFormat="1" ht="12.75">
      <c r="A43" s="35" t="s">
        <v>196</v>
      </c>
      <c r="B43" s="36"/>
      <c r="C43" s="37"/>
      <c r="D43" s="38" t="s">
        <v>82</v>
      </c>
      <c r="E43" s="32"/>
      <c r="F43" s="9"/>
      <c r="G43" s="11"/>
      <c r="H43" s="8"/>
      <c r="I43" s="119">
        <f>SUM(I44:I46)</f>
        <v>40702.013260000007</v>
      </c>
    </row>
    <row r="44" spans="1:11" s="5" customFormat="1" ht="12.75">
      <c r="A44" s="41" t="s">
        <v>245</v>
      </c>
      <c r="B44" s="42" t="s">
        <v>12</v>
      </c>
      <c r="C44" s="43">
        <v>1996</v>
      </c>
      <c r="D44" s="53" t="s">
        <v>499</v>
      </c>
      <c r="E44" s="43" t="s">
        <v>16</v>
      </c>
      <c r="F44" s="45">
        <v>415.18</v>
      </c>
      <c r="G44" s="46">
        <v>458.67</v>
      </c>
      <c r="H44" s="131">
        <f>'MC - TA01'!H115</f>
        <v>3.738</v>
      </c>
      <c r="I44" s="46">
        <f>G44*H44</f>
        <v>1714.50846</v>
      </c>
      <c r="K44" s="203"/>
    </row>
    <row r="45" spans="1:11" s="5" customFormat="1" ht="22.5">
      <c r="A45" s="41" t="s">
        <v>311</v>
      </c>
      <c r="B45" s="42" t="s">
        <v>22</v>
      </c>
      <c r="C45" s="43">
        <f>[2]COMPOSIÇÕES!B61</f>
        <v>6</v>
      </c>
      <c r="D45" s="44" t="s">
        <v>325</v>
      </c>
      <c r="E45" s="43" t="s">
        <v>16</v>
      </c>
      <c r="F45" s="45">
        <f>[2]COMPOSIÇÕES!G61</f>
        <v>64.417599999999993</v>
      </c>
      <c r="G45" s="46">
        <v>71.16</v>
      </c>
      <c r="H45" s="136">
        <f>'MC - TA01'!F128</f>
        <v>431.28000000000009</v>
      </c>
      <c r="I45" s="46">
        <f>G45*H45</f>
        <v>30689.884800000003</v>
      </c>
    </row>
    <row r="46" spans="1:11" s="5" customFormat="1" ht="12.75">
      <c r="A46" s="41" t="s">
        <v>312</v>
      </c>
      <c r="B46" s="43" t="s">
        <v>1</v>
      </c>
      <c r="C46" s="43">
        <f>[2]COTAÇÕES!B24</f>
        <v>2</v>
      </c>
      <c r="D46" s="44" t="s">
        <v>251</v>
      </c>
      <c r="E46" s="43" t="s">
        <v>13</v>
      </c>
      <c r="F46" s="45">
        <f>[2]COTAÇÕES!G24</f>
        <v>101.51125</v>
      </c>
      <c r="G46" s="46">
        <v>112.13</v>
      </c>
      <c r="H46" s="94">
        <v>74</v>
      </c>
      <c r="I46" s="46">
        <f>G46*H46</f>
        <v>8297.619999999999</v>
      </c>
    </row>
    <row r="47" spans="1:11" s="10" customFormat="1" ht="12.75">
      <c r="A47" s="35" t="s">
        <v>33</v>
      </c>
      <c r="B47" s="36"/>
      <c r="C47" s="37"/>
      <c r="D47" s="38" t="s">
        <v>34</v>
      </c>
      <c r="E47" s="32"/>
      <c r="F47" s="9"/>
      <c r="G47" s="11"/>
      <c r="H47" s="8"/>
      <c r="I47" s="119">
        <f>SUM(I48:I49)</f>
        <v>11779.200000000003</v>
      </c>
    </row>
    <row r="48" spans="1:11" s="5" customFormat="1" ht="12.75">
      <c r="A48" s="41" t="s">
        <v>246</v>
      </c>
      <c r="B48" s="42" t="s">
        <v>0</v>
      </c>
      <c r="C48" s="43">
        <v>96114</v>
      </c>
      <c r="D48" s="53" t="s">
        <v>35</v>
      </c>
      <c r="E48" s="43" t="s">
        <v>16</v>
      </c>
      <c r="F48" s="45">
        <v>66.12</v>
      </c>
      <c r="G48" s="46">
        <v>73.040000000000006</v>
      </c>
      <c r="H48" s="131">
        <v>150</v>
      </c>
      <c r="I48" s="46">
        <f>G48*H48</f>
        <v>10956.000000000002</v>
      </c>
    </row>
    <row r="49" spans="1:9" s="5" customFormat="1" ht="12.75">
      <c r="A49" s="127" t="s">
        <v>511</v>
      </c>
      <c r="B49" s="128"/>
      <c r="C49" s="128"/>
      <c r="D49" s="156" t="s">
        <v>523</v>
      </c>
      <c r="E49" s="154" t="s">
        <v>11</v>
      </c>
      <c r="F49" s="130">
        <v>66.12</v>
      </c>
      <c r="G49" s="204">
        <v>102.9</v>
      </c>
      <c r="H49" s="131">
        <v>8</v>
      </c>
      <c r="I49" s="130">
        <f>G49*H49</f>
        <v>823.2</v>
      </c>
    </row>
    <row r="50" spans="1:9" s="10" customFormat="1" ht="12.75">
      <c r="A50" s="35" t="s">
        <v>313</v>
      </c>
      <c r="B50" s="36"/>
      <c r="C50" s="37"/>
      <c r="D50" s="38" t="s">
        <v>87</v>
      </c>
      <c r="E50" s="32"/>
      <c r="F50" s="9"/>
      <c r="G50" s="11"/>
      <c r="H50" s="8"/>
      <c r="I50" s="119">
        <f>SUM(I51)</f>
        <v>22911.525000000001</v>
      </c>
    </row>
    <row r="51" spans="1:9" s="5" customFormat="1" ht="16.5" customHeight="1">
      <c r="A51" s="41" t="s">
        <v>314</v>
      </c>
      <c r="B51" s="43" t="s">
        <v>22</v>
      </c>
      <c r="C51" s="43">
        <f>[2]COMPOSIÇÕES!B46</f>
        <v>4</v>
      </c>
      <c r="D51" s="44" t="s">
        <v>252</v>
      </c>
      <c r="E51" s="43" t="s">
        <v>16</v>
      </c>
      <c r="F51" s="45">
        <f>[2]COMPOSIÇÕES!G46</f>
        <v>101.29941300000002</v>
      </c>
      <c r="G51" s="46">
        <v>111.9</v>
      </c>
      <c r="H51" s="131">
        <f>130*1.5*1.05</f>
        <v>204.75</v>
      </c>
      <c r="I51" s="46">
        <f>G51*H51</f>
        <v>22911.525000000001</v>
      </c>
    </row>
    <row r="52" spans="1:9" s="5" customFormat="1" ht="12.75">
      <c r="A52" s="33">
        <v>6</v>
      </c>
      <c r="B52" s="33"/>
      <c r="C52" s="33"/>
      <c r="D52" s="54" t="s">
        <v>36</v>
      </c>
      <c r="E52" s="79"/>
      <c r="F52" s="80"/>
      <c r="G52" s="81"/>
      <c r="H52" s="80"/>
      <c r="I52" s="118">
        <f>SUM(I53,I59,I62,I65)</f>
        <v>54505.593500000003</v>
      </c>
    </row>
    <row r="53" spans="1:9" s="5" customFormat="1" ht="12.75">
      <c r="A53" s="35" t="s">
        <v>37</v>
      </c>
      <c r="B53" s="36"/>
      <c r="C53" s="37"/>
      <c r="D53" s="38" t="s">
        <v>82</v>
      </c>
      <c r="E53" s="32"/>
      <c r="F53" s="9"/>
      <c r="G53" s="11"/>
      <c r="H53" s="8"/>
      <c r="I53" s="119">
        <f>SUM(I54:I58)</f>
        <v>30704.84</v>
      </c>
    </row>
    <row r="54" spans="1:9" s="5" customFormat="1" ht="17.25" customHeight="1">
      <c r="A54" s="41" t="s">
        <v>79</v>
      </c>
      <c r="B54" s="42" t="s">
        <v>0</v>
      </c>
      <c r="C54" s="43">
        <v>95626</v>
      </c>
      <c r="D54" s="44" t="s">
        <v>43</v>
      </c>
      <c r="E54" s="43" t="s">
        <v>16</v>
      </c>
      <c r="F54" s="45">
        <v>12.95</v>
      </c>
      <c r="G54" s="46">
        <v>14.3</v>
      </c>
      <c r="H54" s="47">
        <v>290</v>
      </c>
      <c r="I54" s="46">
        <f>G54*H54</f>
        <v>4147</v>
      </c>
    </row>
    <row r="55" spans="1:9" s="5" customFormat="1" ht="12.75">
      <c r="A55" s="41" t="s">
        <v>80</v>
      </c>
      <c r="B55" s="42" t="s">
        <v>0</v>
      </c>
      <c r="C55" s="43">
        <v>88497</v>
      </c>
      <c r="D55" s="44" t="s">
        <v>98</v>
      </c>
      <c r="E55" s="43" t="s">
        <v>16</v>
      </c>
      <c r="F55" s="45">
        <v>12.61</v>
      </c>
      <c r="G55" s="46">
        <v>13.93</v>
      </c>
      <c r="H55" s="47">
        <v>453</v>
      </c>
      <c r="I55" s="46">
        <f>G55*H55</f>
        <v>6310.29</v>
      </c>
    </row>
    <row r="56" spans="1:9" s="5" customFormat="1" ht="12.75">
      <c r="A56" s="41" t="s">
        <v>81</v>
      </c>
      <c r="B56" s="42" t="s">
        <v>0</v>
      </c>
      <c r="C56" s="43">
        <v>88495</v>
      </c>
      <c r="D56" s="44" t="s">
        <v>99</v>
      </c>
      <c r="E56" s="43" t="s">
        <v>16</v>
      </c>
      <c r="F56" s="45">
        <v>9.1300000000000008</v>
      </c>
      <c r="G56" s="46">
        <v>10.08</v>
      </c>
      <c r="H56" s="47">
        <v>735</v>
      </c>
      <c r="I56" s="46">
        <f>G56*H56</f>
        <v>7408.8</v>
      </c>
    </row>
    <row r="57" spans="1:9" s="5" customFormat="1" ht="22.5">
      <c r="A57" s="41" t="s">
        <v>321</v>
      </c>
      <c r="B57" s="42" t="s">
        <v>0</v>
      </c>
      <c r="C57" s="43">
        <v>88489</v>
      </c>
      <c r="D57" s="53" t="s">
        <v>46</v>
      </c>
      <c r="E57" s="43" t="s">
        <v>16</v>
      </c>
      <c r="F57" s="45">
        <v>12.25</v>
      </c>
      <c r="G57" s="46">
        <v>13.53</v>
      </c>
      <c r="H57" s="47">
        <v>445</v>
      </c>
      <c r="I57" s="46">
        <f>G57*H57</f>
        <v>6020.8499999999995</v>
      </c>
    </row>
    <row r="58" spans="1:9" s="5" customFormat="1" ht="12.75">
      <c r="A58" s="127" t="s">
        <v>584</v>
      </c>
      <c r="B58" s="128" t="s">
        <v>0</v>
      </c>
      <c r="C58" s="128">
        <v>88490</v>
      </c>
      <c r="D58" s="129" t="s">
        <v>585</v>
      </c>
      <c r="E58" s="128" t="s">
        <v>16</v>
      </c>
      <c r="F58" s="130">
        <v>12.25</v>
      </c>
      <c r="G58" s="130">
        <v>23.51</v>
      </c>
      <c r="H58" s="131">
        <f>H54</f>
        <v>290</v>
      </c>
      <c r="I58" s="130">
        <f>G58*H58</f>
        <v>6817.9000000000005</v>
      </c>
    </row>
    <row r="59" spans="1:9" s="10" customFormat="1" ht="12.75">
      <c r="A59" s="35" t="s">
        <v>41</v>
      </c>
      <c r="B59" s="36"/>
      <c r="C59" s="37"/>
      <c r="D59" s="38" t="s">
        <v>34</v>
      </c>
      <c r="E59" s="32"/>
      <c r="F59" s="9"/>
      <c r="G59" s="46"/>
      <c r="H59" s="8"/>
      <c r="I59" s="119">
        <f>SUM(I60:I61)</f>
        <v>16136.560000000001</v>
      </c>
    </row>
    <row r="60" spans="1:9" s="5" customFormat="1" ht="12.75">
      <c r="A60" s="41" t="s">
        <v>83</v>
      </c>
      <c r="B60" s="42" t="s">
        <v>0</v>
      </c>
      <c r="C60" s="43">
        <v>88494</v>
      </c>
      <c r="D60" s="53" t="s">
        <v>44</v>
      </c>
      <c r="E60" s="43" t="s">
        <v>16</v>
      </c>
      <c r="F60" s="45">
        <v>16.41</v>
      </c>
      <c r="G60" s="46">
        <v>18.12</v>
      </c>
      <c r="H60" s="47">
        <v>484</v>
      </c>
      <c r="I60" s="46">
        <f>G60*H60</f>
        <v>8770.08</v>
      </c>
    </row>
    <row r="61" spans="1:9" s="5" customFormat="1" ht="22.5">
      <c r="A61" s="41" t="s">
        <v>84</v>
      </c>
      <c r="B61" s="42" t="s">
        <v>0</v>
      </c>
      <c r="C61" s="43">
        <v>88488</v>
      </c>
      <c r="D61" s="53" t="s">
        <v>47</v>
      </c>
      <c r="E61" s="43" t="s">
        <v>16</v>
      </c>
      <c r="F61" s="45">
        <v>13.78</v>
      </c>
      <c r="G61" s="46">
        <v>15.22</v>
      </c>
      <c r="H61" s="47">
        <v>484</v>
      </c>
      <c r="I61" s="46">
        <f>G61*H61</f>
        <v>7366.4800000000005</v>
      </c>
    </row>
    <row r="62" spans="1:9" s="10" customFormat="1" ht="12.75">
      <c r="A62" s="35" t="s">
        <v>42</v>
      </c>
      <c r="B62" s="36"/>
      <c r="C62" s="37"/>
      <c r="D62" s="153" t="s">
        <v>93</v>
      </c>
      <c r="E62" s="32"/>
      <c r="F62" s="9"/>
      <c r="G62" s="46"/>
      <c r="H62" s="8"/>
      <c r="I62" s="119">
        <f>SUM(I63:I64)</f>
        <v>6496.4045999999998</v>
      </c>
    </row>
    <row r="63" spans="1:9" s="5" customFormat="1" ht="12.75">
      <c r="A63" s="41" t="s">
        <v>85</v>
      </c>
      <c r="B63" s="42" t="s">
        <v>0</v>
      </c>
      <c r="C63" s="43">
        <v>84679</v>
      </c>
      <c r="D63" s="53" t="s">
        <v>51</v>
      </c>
      <c r="E63" s="43" t="s">
        <v>16</v>
      </c>
      <c r="F63" s="45">
        <v>18.55</v>
      </c>
      <c r="G63" s="46">
        <v>20.48</v>
      </c>
      <c r="H63" s="136">
        <f>((0.9*2.1*$H$70)+(0.8*2.1*$H$71)+(1.2*2.1*$H$73))*2</f>
        <v>139.02000000000001</v>
      </c>
      <c r="I63" s="46">
        <f>G63*H63</f>
        <v>2847.1296000000002</v>
      </c>
    </row>
    <row r="64" spans="1:9" s="5" customFormat="1" ht="22.5">
      <c r="A64" s="41" t="s">
        <v>322</v>
      </c>
      <c r="B64" s="42" t="s">
        <v>0</v>
      </c>
      <c r="C64" s="43" t="s">
        <v>52</v>
      </c>
      <c r="D64" s="53" t="s">
        <v>54</v>
      </c>
      <c r="E64" s="43" t="s">
        <v>16</v>
      </c>
      <c r="F64" s="45">
        <v>23.77</v>
      </c>
      <c r="G64" s="46">
        <v>26.25</v>
      </c>
      <c r="H64" s="136">
        <f>((0.9*2.1*$H$70)+(0.8*2.1*$H$71)+(1.2*2.1*$H$73))*2</f>
        <v>139.02000000000001</v>
      </c>
      <c r="I64" s="46">
        <f>G64*H64</f>
        <v>3649.2750000000001</v>
      </c>
    </row>
    <row r="65" spans="1:9" s="10" customFormat="1" ht="12.75">
      <c r="A65" s="35" t="s">
        <v>45</v>
      </c>
      <c r="B65" s="36"/>
      <c r="C65" s="37"/>
      <c r="D65" s="38" t="s">
        <v>95</v>
      </c>
      <c r="E65" s="32"/>
      <c r="F65" s="9"/>
      <c r="G65" s="46"/>
      <c r="H65" s="8"/>
      <c r="I65" s="119">
        <f>SUM(I66:I67)</f>
        <v>1167.7889</v>
      </c>
    </row>
    <row r="66" spans="1:9" s="5" customFormat="1" ht="12.75">
      <c r="A66" s="41" t="s">
        <v>86</v>
      </c>
      <c r="B66" s="42" t="s">
        <v>0</v>
      </c>
      <c r="C66" s="43" t="s">
        <v>55</v>
      </c>
      <c r="D66" s="53" t="s">
        <v>56</v>
      </c>
      <c r="E66" s="43" t="s">
        <v>16</v>
      </c>
      <c r="F66" s="45">
        <v>19.329999999999998</v>
      </c>
      <c r="G66" s="46">
        <v>21.34</v>
      </c>
      <c r="H66" s="47">
        <v>23.46</v>
      </c>
      <c r="I66" s="46">
        <f>G66*H66</f>
        <v>500.63640000000004</v>
      </c>
    </row>
    <row r="67" spans="1:9" s="5" customFormat="1" ht="12.75">
      <c r="A67" s="41" t="s">
        <v>323</v>
      </c>
      <c r="B67" s="42" t="s">
        <v>0</v>
      </c>
      <c r="C67" s="43" t="s">
        <v>57</v>
      </c>
      <c r="D67" s="53" t="s">
        <v>58</v>
      </c>
      <c r="E67" s="43" t="s">
        <v>16</v>
      </c>
      <c r="F67" s="45">
        <v>25.75</v>
      </c>
      <c r="G67" s="46">
        <v>28.45</v>
      </c>
      <c r="H67" s="47">
        <v>23.45</v>
      </c>
      <c r="I67" s="46">
        <f>G67*H67</f>
        <v>667.15249999999992</v>
      </c>
    </row>
    <row r="68" spans="1:9" s="5" customFormat="1" ht="12.75">
      <c r="A68" s="33">
        <v>7</v>
      </c>
      <c r="B68" s="33"/>
      <c r="C68" s="33"/>
      <c r="D68" s="54" t="s">
        <v>62</v>
      </c>
      <c r="E68" s="79"/>
      <c r="F68" s="80"/>
      <c r="G68" s="81"/>
      <c r="H68" s="80"/>
      <c r="I68" s="118">
        <f>SUM(I69,I80,I83)</f>
        <v>52240.520799999998</v>
      </c>
    </row>
    <row r="69" spans="1:9" s="5" customFormat="1" ht="12.75">
      <c r="A69" s="35" t="s">
        <v>59</v>
      </c>
      <c r="B69" s="36"/>
      <c r="C69" s="37"/>
      <c r="D69" s="38" t="s">
        <v>74</v>
      </c>
      <c r="E69" s="32"/>
      <c r="F69" s="9"/>
      <c r="G69" s="11"/>
      <c r="H69" s="8"/>
      <c r="I69" s="119">
        <f>SUM(I70:I71,I73:I73,I75:I79)</f>
        <v>49472.090799999998</v>
      </c>
    </row>
    <row r="70" spans="1:9" s="5" customFormat="1" ht="12.75">
      <c r="A70" s="41" t="s">
        <v>88</v>
      </c>
      <c r="B70" s="42" t="s">
        <v>0</v>
      </c>
      <c r="C70" s="43">
        <v>90844</v>
      </c>
      <c r="D70" s="53" t="s">
        <v>139</v>
      </c>
      <c r="E70" s="2" t="s">
        <v>11</v>
      </c>
      <c r="F70" s="45">
        <v>867.73</v>
      </c>
      <c r="G70" s="46">
        <v>958.62</v>
      </c>
      <c r="H70" s="131">
        <v>23</v>
      </c>
      <c r="I70" s="46">
        <f t="shared" ref="I70:I79" si="3">G70*H70</f>
        <v>22048.26</v>
      </c>
    </row>
    <row r="71" spans="1:9" s="5" customFormat="1" ht="12.75">
      <c r="A71" s="41" t="s">
        <v>89</v>
      </c>
      <c r="B71" s="42" t="s">
        <v>0</v>
      </c>
      <c r="C71" s="43">
        <v>90843</v>
      </c>
      <c r="D71" s="53" t="s">
        <v>140</v>
      </c>
      <c r="E71" s="2" t="s">
        <v>11</v>
      </c>
      <c r="F71" s="45">
        <v>835.78</v>
      </c>
      <c r="G71" s="46">
        <v>923.33</v>
      </c>
      <c r="H71" s="131">
        <v>14</v>
      </c>
      <c r="I71" s="46">
        <f t="shared" si="3"/>
        <v>12926.62</v>
      </c>
    </row>
    <row r="72" spans="1:9" s="5" customFormat="1" ht="22.5">
      <c r="A72" s="120" t="s">
        <v>90</v>
      </c>
      <c r="B72" s="121" t="s">
        <v>12</v>
      </c>
      <c r="C72" s="121">
        <v>3625</v>
      </c>
      <c r="D72" s="134" t="s">
        <v>197</v>
      </c>
      <c r="E72" s="152" t="s">
        <v>11</v>
      </c>
      <c r="F72" s="124">
        <v>604.65</v>
      </c>
      <c r="G72" s="125">
        <v>667.98</v>
      </c>
      <c r="H72" s="126">
        <v>10</v>
      </c>
      <c r="I72" s="125">
        <f t="shared" si="3"/>
        <v>6679.8</v>
      </c>
    </row>
    <row r="73" spans="1:9" s="5" customFormat="1" ht="22.5">
      <c r="A73" s="41" t="s">
        <v>91</v>
      </c>
      <c r="B73" s="42" t="s">
        <v>12</v>
      </c>
      <c r="C73" s="43">
        <v>8375</v>
      </c>
      <c r="D73" s="53" t="s">
        <v>198</v>
      </c>
      <c r="E73" s="2" t="s">
        <v>11</v>
      </c>
      <c r="F73" s="45">
        <v>833.03</v>
      </c>
      <c r="G73" s="46">
        <v>920.28</v>
      </c>
      <c r="H73" s="47">
        <v>1</v>
      </c>
      <c r="I73" s="46">
        <f t="shared" si="3"/>
        <v>920.28</v>
      </c>
    </row>
    <row r="74" spans="1:9" s="5" customFormat="1" ht="22.5">
      <c r="A74" s="120" t="s">
        <v>315</v>
      </c>
      <c r="B74" s="121" t="s">
        <v>12</v>
      </c>
      <c r="C74" s="122">
        <v>11836</v>
      </c>
      <c r="D74" s="151" t="s">
        <v>199</v>
      </c>
      <c r="E74" s="152" t="s">
        <v>11</v>
      </c>
      <c r="F74" s="124">
        <v>822.46</v>
      </c>
      <c r="G74" s="125">
        <v>908.61</v>
      </c>
      <c r="H74" s="126">
        <v>1</v>
      </c>
      <c r="I74" s="125">
        <f t="shared" si="3"/>
        <v>908.61</v>
      </c>
    </row>
    <row r="75" spans="1:9" s="5" customFormat="1" ht="12.75">
      <c r="A75" s="41" t="s">
        <v>316</v>
      </c>
      <c r="B75" s="42" t="s">
        <v>12</v>
      </c>
      <c r="C75" s="43">
        <v>11948</v>
      </c>
      <c r="D75" s="53" t="s">
        <v>200</v>
      </c>
      <c r="E75" s="43" t="s">
        <v>16</v>
      </c>
      <c r="F75" s="45">
        <v>310.32</v>
      </c>
      <c r="G75" s="46">
        <v>342.81</v>
      </c>
      <c r="H75" s="47">
        <v>7.44</v>
      </c>
      <c r="I75" s="46">
        <f t="shared" si="3"/>
        <v>2550.5064000000002</v>
      </c>
    </row>
    <row r="76" spans="1:9" s="5" customFormat="1" ht="22.5">
      <c r="A76" s="41" t="s">
        <v>317</v>
      </c>
      <c r="B76" s="42" t="s">
        <v>12</v>
      </c>
      <c r="C76" s="43">
        <v>8970</v>
      </c>
      <c r="D76" s="53" t="s">
        <v>201</v>
      </c>
      <c r="E76" s="43" t="s">
        <v>16</v>
      </c>
      <c r="F76" s="45">
        <v>54.46</v>
      </c>
      <c r="G76" s="46">
        <v>60.16</v>
      </c>
      <c r="H76" s="131">
        <f>0.7*2.1*3</f>
        <v>4.41</v>
      </c>
      <c r="I76" s="46">
        <f t="shared" si="3"/>
        <v>265.30559999999997</v>
      </c>
    </row>
    <row r="77" spans="1:9" s="5" customFormat="1" ht="12.75">
      <c r="A77" s="41" t="s">
        <v>318</v>
      </c>
      <c r="B77" s="42" t="s">
        <v>0</v>
      </c>
      <c r="C77" s="43" t="s">
        <v>63</v>
      </c>
      <c r="D77" s="53" t="s">
        <v>141</v>
      </c>
      <c r="E77" s="43" t="s">
        <v>16</v>
      </c>
      <c r="F77" s="45">
        <v>515.16999999999996</v>
      </c>
      <c r="G77" s="46">
        <v>569.13</v>
      </c>
      <c r="H77" s="56">
        <f>0.8*2.1</f>
        <v>1.6800000000000002</v>
      </c>
      <c r="I77" s="46">
        <f t="shared" si="3"/>
        <v>956.13840000000005</v>
      </c>
    </row>
    <row r="78" spans="1:9" s="5" customFormat="1" ht="22.5">
      <c r="A78" s="41" t="s">
        <v>319</v>
      </c>
      <c r="B78" s="42" t="s">
        <v>0</v>
      </c>
      <c r="C78" s="43" t="s">
        <v>64</v>
      </c>
      <c r="D78" s="53" t="s">
        <v>65</v>
      </c>
      <c r="E78" s="43" t="s">
        <v>16</v>
      </c>
      <c r="F78" s="45">
        <v>488.35</v>
      </c>
      <c r="G78" s="46">
        <v>539.5</v>
      </c>
      <c r="H78" s="47">
        <v>11.61</v>
      </c>
      <c r="I78" s="46">
        <f t="shared" si="3"/>
        <v>6263.5949999999993</v>
      </c>
    </row>
    <row r="79" spans="1:9" s="5" customFormat="1" ht="22.5">
      <c r="A79" s="41" t="s">
        <v>320</v>
      </c>
      <c r="B79" s="42" t="s">
        <v>12</v>
      </c>
      <c r="C79" s="43">
        <v>11556</v>
      </c>
      <c r="D79" s="44" t="s">
        <v>202</v>
      </c>
      <c r="E79" s="43" t="s">
        <v>16</v>
      </c>
      <c r="F79" s="45">
        <v>355</v>
      </c>
      <c r="G79" s="46">
        <v>392.18</v>
      </c>
      <c r="H79" s="47">
        <v>9.0299999999999994</v>
      </c>
      <c r="I79" s="46">
        <f t="shared" si="3"/>
        <v>3541.3853999999997</v>
      </c>
    </row>
    <row r="80" spans="1:9" s="5" customFormat="1" ht="12.75">
      <c r="A80" s="35" t="s">
        <v>60</v>
      </c>
      <c r="B80" s="36"/>
      <c r="C80" s="37"/>
      <c r="D80" s="38" t="s">
        <v>506</v>
      </c>
      <c r="E80" s="32"/>
      <c r="F80" s="9"/>
      <c r="G80" s="46"/>
      <c r="H80" s="8"/>
      <c r="I80" s="119">
        <f>SUM(I82)</f>
        <v>2268.7200000000003</v>
      </c>
    </row>
    <row r="81" spans="1:9" s="5" customFormat="1" ht="22.5">
      <c r="A81" s="120" t="s">
        <v>92</v>
      </c>
      <c r="B81" s="121" t="s">
        <v>12</v>
      </c>
      <c r="C81" s="122">
        <v>1766</v>
      </c>
      <c r="D81" s="123" t="s">
        <v>204</v>
      </c>
      <c r="E81" s="122" t="s">
        <v>16</v>
      </c>
      <c r="F81" s="124">
        <v>450.17</v>
      </c>
      <c r="G81" s="125">
        <v>497.32</v>
      </c>
      <c r="H81" s="126">
        <v>0.96</v>
      </c>
      <c r="I81" s="125">
        <f>G81*H81</f>
        <v>477.42719999999997</v>
      </c>
    </row>
    <row r="82" spans="1:9" s="5" customFormat="1" ht="12.75">
      <c r="A82" s="127" t="s">
        <v>507</v>
      </c>
      <c r="B82" s="128"/>
      <c r="C82" s="128"/>
      <c r="D82" s="129" t="s">
        <v>508</v>
      </c>
      <c r="E82" s="154" t="s">
        <v>11</v>
      </c>
      <c r="F82" s="133"/>
      <c r="G82" s="130">
        <v>63.02</v>
      </c>
      <c r="H82" s="155">
        <v>36</v>
      </c>
      <c r="I82" s="130">
        <f>G82*H82</f>
        <v>2268.7200000000003</v>
      </c>
    </row>
    <row r="83" spans="1:9" s="5" customFormat="1" ht="12.75">
      <c r="A83" s="35" t="s">
        <v>61</v>
      </c>
      <c r="B83" s="36"/>
      <c r="C83" s="37"/>
      <c r="D83" s="38" t="s">
        <v>244</v>
      </c>
      <c r="E83" s="32"/>
      <c r="F83" s="9"/>
      <c r="G83" s="46"/>
      <c r="H83" s="8"/>
      <c r="I83" s="119">
        <f>I84</f>
        <v>499.71</v>
      </c>
    </row>
    <row r="84" spans="1:9" s="5" customFormat="1" ht="12.75">
      <c r="A84" s="41" t="s">
        <v>94</v>
      </c>
      <c r="B84" s="42" t="s">
        <v>12</v>
      </c>
      <c r="C84" s="43">
        <v>3731</v>
      </c>
      <c r="D84" s="44" t="s">
        <v>203</v>
      </c>
      <c r="E84" s="43" t="s">
        <v>16</v>
      </c>
      <c r="F84" s="45">
        <v>452.33</v>
      </c>
      <c r="G84" s="46">
        <v>499.71</v>
      </c>
      <c r="H84" s="47">
        <v>1</v>
      </c>
      <c r="I84" s="46">
        <f>G84*H84</f>
        <v>499.71</v>
      </c>
    </row>
    <row r="85" spans="1:9" s="12" customFormat="1" ht="12.75">
      <c r="A85" s="57">
        <v>8</v>
      </c>
      <c r="B85" s="34"/>
      <c r="C85" s="34"/>
      <c r="D85" s="57" t="s">
        <v>142</v>
      </c>
      <c r="E85" s="79"/>
      <c r="F85" s="80"/>
      <c r="G85" s="81"/>
      <c r="H85" s="80"/>
      <c r="I85" s="118">
        <f>SUM(I86,I101,I106,I128)</f>
        <v>80078.605000000025</v>
      </c>
    </row>
    <row r="86" spans="1:9" s="5" customFormat="1" ht="12.75">
      <c r="A86" s="35" t="s">
        <v>96</v>
      </c>
      <c r="B86" s="36"/>
      <c r="C86" s="37"/>
      <c r="D86" s="38" t="s">
        <v>143</v>
      </c>
      <c r="E86" s="32"/>
      <c r="F86" s="9"/>
      <c r="G86" s="11"/>
      <c r="H86" s="8"/>
      <c r="I86" s="119">
        <f>SUM(I87:I100)</f>
        <v>8343.64</v>
      </c>
    </row>
    <row r="87" spans="1:9" s="5" customFormat="1" ht="22.5">
      <c r="A87" s="41" t="s">
        <v>122</v>
      </c>
      <c r="B87" s="42" t="s">
        <v>0</v>
      </c>
      <c r="C87" s="43">
        <v>95635</v>
      </c>
      <c r="D87" s="53" t="s">
        <v>121</v>
      </c>
      <c r="E87" s="2" t="s">
        <v>11</v>
      </c>
      <c r="F87" s="45">
        <v>123.87</v>
      </c>
      <c r="G87" s="46">
        <v>136.83000000000001</v>
      </c>
      <c r="H87" s="47">
        <v>1</v>
      </c>
      <c r="I87" s="46">
        <f t="shared" ref="I87:I100" si="4">G87*H87</f>
        <v>136.83000000000001</v>
      </c>
    </row>
    <row r="88" spans="1:9" s="5" customFormat="1" ht="12.75">
      <c r="A88" s="41" t="s">
        <v>124</v>
      </c>
      <c r="B88" s="42" t="s">
        <v>0</v>
      </c>
      <c r="C88" s="43">
        <v>95675</v>
      </c>
      <c r="D88" s="53" t="s">
        <v>123</v>
      </c>
      <c r="E88" s="2" t="s">
        <v>11</v>
      </c>
      <c r="F88" s="45">
        <v>180.69</v>
      </c>
      <c r="G88" s="46">
        <v>199.62</v>
      </c>
      <c r="H88" s="47">
        <v>1</v>
      </c>
      <c r="I88" s="46">
        <f t="shared" si="4"/>
        <v>199.62</v>
      </c>
    </row>
    <row r="89" spans="1:9" s="5" customFormat="1" ht="12.75">
      <c r="A89" s="41" t="s">
        <v>126</v>
      </c>
      <c r="B89" s="42" t="s">
        <v>0</v>
      </c>
      <c r="C89" s="43">
        <v>95676</v>
      </c>
      <c r="D89" s="53" t="s">
        <v>125</v>
      </c>
      <c r="E89" s="2" t="s">
        <v>11</v>
      </c>
      <c r="F89" s="45">
        <v>69.05</v>
      </c>
      <c r="G89" s="46">
        <v>76.27</v>
      </c>
      <c r="H89" s="47">
        <v>1</v>
      </c>
      <c r="I89" s="46">
        <f t="shared" si="4"/>
        <v>76.27</v>
      </c>
    </row>
    <row r="90" spans="1:9" s="5" customFormat="1" ht="33.75">
      <c r="A90" s="41" t="s">
        <v>144</v>
      </c>
      <c r="B90" s="42" t="s">
        <v>9</v>
      </c>
      <c r="C90" s="43">
        <v>96</v>
      </c>
      <c r="D90" s="53" t="s">
        <v>145</v>
      </c>
      <c r="E90" s="2" t="s">
        <v>11</v>
      </c>
      <c r="F90" s="45">
        <v>7.5</v>
      </c>
      <c r="G90" s="46">
        <v>8.2799999999999994</v>
      </c>
      <c r="H90" s="47">
        <v>8</v>
      </c>
      <c r="I90" s="46">
        <f t="shared" si="4"/>
        <v>66.239999999999995</v>
      </c>
    </row>
    <row r="91" spans="1:9" s="5" customFormat="1" ht="12.75">
      <c r="A91" s="41" t="s">
        <v>146</v>
      </c>
      <c r="B91" s="42" t="s">
        <v>0</v>
      </c>
      <c r="C91" s="43">
        <v>85195</v>
      </c>
      <c r="D91" s="53" t="s">
        <v>147</v>
      </c>
      <c r="E91" s="2" t="s">
        <v>11</v>
      </c>
      <c r="F91" s="45">
        <v>74.64</v>
      </c>
      <c r="G91" s="46">
        <v>82.45</v>
      </c>
      <c r="H91" s="47">
        <v>4</v>
      </c>
      <c r="I91" s="46">
        <f t="shared" si="4"/>
        <v>329.8</v>
      </c>
    </row>
    <row r="92" spans="1:9" s="5" customFormat="1" ht="22.5">
      <c r="A92" s="41" t="s">
        <v>148</v>
      </c>
      <c r="B92" s="42" t="s">
        <v>0</v>
      </c>
      <c r="C92" s="43">
        <v>91784</v>
      </c>
      <c r="D92" s="44" t="s">
        <v>149</v>
      </c>
      <c r="E92" s="43" t="s">
        <v>13</v>
      </c>
      <c r="F92" s="45">
        <v>33.17</v>
      </c>
      <c r="G92" s="46">
        <v>36.64</v>
      </c>
      <c r="H92" s="47">
        <v>35</v>
      </c>
      <c r="I92" s="46">
        <f t="shared" si="4"/>
        <v>1282.4000000000001</v>
      </c>
    </row>
    <row r="93" spans="1:9" s="5" customFormat="1" ht="22.5">
      <c r="A93" s="41" t="s">
        <v>150</v>
      </c>
      <c r="B93" s="42" t="s">
        <v>0</v>
      </c>
      <c r="C93" s="43">
        <v>91785</v>
      </c>
      <c r="D93" s="44" t="s">
        <v>151</v>
      </c>
      <c r="E93" s="43" t="s">
        <v>13</v>
      </c>
      <c r="F93" s="45">
        <v>32.659999999999997</v>
      </c>
      <c r="G93" s="46">
        <v>36.07</v>
      </c>
      <c r="H93" s="47">
        <v>70</v>
      </c>
      <c r="I93" s="46">
        <f t="shared" si="4"/>
        <v>2524.9</v>
      </c>
    </row>
    <row r="94" spans="1:9" s="5" customFormat="1" ht="22.5">
      <c r="A94" s="41" t="s">
        <v>152</v>
      </c>
      <c r="B94" s="42" t="s">
        <v>0</v>
      </c>
      <c r="C94" s="43">
        <v>91787</v>
      </c>
      <c r="D94" s="44" t="s">
        <v>153</v>
      </c>
      <c r="E94" s="43" t="s">
        <v>13</v>
      </c>
      <c r="F94" s="45">
        <v>21.14</v>
      </c>
      <c r="G94" s="46">
        <v>23.34</v>
      </c>
      <c r="H94" s="47">
        <v>12.5</v>
      </c>
      <c r="I94" s="46">
        <f t="shared" si="4"/>
        <v>291.75</v>
      </c>
    </row>
    <row r="95" spans="1:9" s="5" customFormat="1" ht="22.5">
      <c r="A95" s="41" t="s">
        <v>154</v>
      </c>
      <c r="B95" s="42" t="s">
        <v>0</v>
      </c>
      <c r="C95" s="43">
        <v>94494</v>
      </c>
      <c r="D95" s="53" t="s">
        <v>155</v>
      </c>
      <c r="E95" s="2" t="s">
        <v>11</v>
      </c>
      <c r="F95" s="45">
        <v>67.8</v>
      </c>
      <c r="G95" s="46">
        <v>74.900000000000006</v>
      </c>
      <c r="H95" s="47">
        <v>8</v>
      </c>
      <c r="I95" s="46">
        <f t="shared" si="4"/>
        <v>599.20000000000005</v>
      </c>
    </row>
    <row r="96" spans="1:9" s="5" customFormat="1" ht="22.5">
      <c r="A96" s="41" t="s">
        <v>156</v>
      </c>
      <c r="B96" s="42" t="s">
        <v>0</v>
      </c>
      <c r="C96" s="43">
        <v>89986</v>
      </c>
      <c r="D96" s="53" t="s">
        <v>157</v>
      </c>
      <c r="E96" s="2" t="s">
        <v>11</v>
      </c>
      <c r="F96" s="45">
        <v>94.32</v>
      </c>
      <c r="G96" s="46">
        <v>104.2</v>
      </c>
      <c r="H96" s="47">
        <v>5</v>
      </c>
      <c r="I96" s="46">
        <f t="shared" si="4"/>
        <v>521</v>
      </c>
    </row>
    <row r="97" spans="1:9" s="5" customFormat="1" ht="22.5">
      <c r="A97" s="41" t="s">
        <v>158</v>
      </c>
      <c r="B97" s="42" t="s">
        <v>0</v>
      </c>
      <c r="C97" s="43">
        <v>89987</v>
      </c>
      <c r="D97" s="53" t="s">
        <v>159</v>
      </c>
      <c r="E97" s="2" t="s">
        <v>11</v>
      </c>
      <c r="F97" s="45">
        <v>105.11</v>
      </c>
      <c r="G97" s="46">
        <v>116.11</v>
      </c>
      <c r="H97" s="47">
        <v>15</v>
      </c>
      <c r="I97" s="46">
        <f t="shared" si="4"/>
        <v>1741.65</v>
      </c>
    </row>
    <row r="98" spans="1:9" s="5" customFormat="1" ht="22.5">
      <c r="A98" s="41" t="s">
        <v>160</v>
      </c>
      <c r="B98" s="42" t="s">
        <v>0</v>
      </c>
      <c r="C98" s="43">
        <v>89984</v>
      </c>
      <c r="D98" s="53" t="s">
        <v>161</v>
      </c>
      <c r="E98" s="2" t="s">
        <v>11</v>
      </c>
      <c r="F98" s="45">
        <v>96.79</v>
      </c>
      <c r="G98" s="46">
        <v>106.92</v>
      </c>
      <c r="H98" s="47">
        <v>2</v>
      </c>
      <c r="I98" s="46">
        <f t="shared" si="4"/>
        <v>213.84</v>
      </c>
    </row>
    <row r="99" spans="1:9" s="5" customFormat="1" ht="22.5">
      <c r="A99" s="41" t="s">
        <v>162</v>
      </c>
      <c r="B99" s="42" t="s">
        <v>0</v>
      </c>
      <c r="C99" s="43">
        <v>89985</v>
      </c>
      <c r="D99" s="53" t="s">
        <v>163</v>
      </c>
      <c r="E99" s="2" t="s">
        <v>11</v>
      </c>
      <c r="F99" s="45">
        <v>99.71</v>
      </c>
      <c r="G99" s="46">
        <v>110.15</v>
      </c>
      <c r="H99" s="47">
        <v>1</v>
      </c>
      <c r="I99" s="46">
        <f t="shared" si="4"/>
        <v>110.15</v>
      </c>
    </row>
    <row r="100" spans="1:9" s="5" customFormat="1" ht="22.5">
      <c r="A100" s="41" t="s">
        <v>164</v>
      </c>
      <c r="B100" s="42" t="s">
        <v>0</v>
      </c>
      <c r="C100" s="43">
        <v>99635</v>
      </c>
      <c r="D100" s="53" t="s">
        <v>165</v>
      </c>
      <c r="E100" s="2" t="s">
        <v>11</v>
      </c>
      <c r="F100" s="45">
        <v>226.29</v>
      </c>
      <c r="G100" s="46">
        <v>249.99</v>
      </c>
      <c r="H100" s="47">
        <v>1</v>
      </c>
      <c r="I100" s="46">
        <f t="shared" si="4"/>
        <v>249.99</v>
      </c>
    </row>
    <row r="101" spans="1:9" s="5" customFormat="1" ht="12.75">
      <c r="A101" s="35" t="s">
        <v>102</v>
      </c>
      <c r="B101" s="36"/>
      <c r="C101" s="37"/>
      <c r="D101" s="38" t="s">
        <v>166</v>
      </c>
      <c r="E101" s="32"/>
      <c r="F101" s="9"/>
      <c r="G101" s="46"/>
      <c r="H101" s="8"/>
      <c r="I101" s="119">
        <f>SUM(I103:I104)</f>
        <v>19323.224999999999</v>
      </c>
    </row>
    <row r="102" spans="1:9" s="5" customFormat="1" ht="22.5">
      <c r="A102" s="120" t="s">
        <v>108</v>
      </c>
      <c r="B102" s="121" t="s">
        <v>0</v>
      </c>
      <c r="C102" s="122">
        <v>94228</v>
      </c>
      <c r="D102" s="151" t="s">
        <v>167</v>
      </c>
      <c r="E102" s="122" t="s">
        <v>13</v>
      </c>
      <c r="F102" s="124">
        <v>57.82</v>
      </c>
      <c r="G102" s="125">
        <v>63.87</v>
      </c>
      <c r="H102" s="126">
        <v>20</v>
      </c>
      <c r="I102" s="125">
        <f>G102*H102</f>
        <v>1277.3999999999999</v>
      </c>
    </row>
    <row r="103" spans="1:9" s="5" customFormat="1" ht="22.5">
      <c r="A103" s="41" t="s">
        <v>168</v>
      </c>
      <c r="B103" s="42" t="s">
        <v>0</v>
      </c>
      <c r="C103" s="43">
        <v>94229</v>
      </c>
      <c r="D103" s="53" t="s">
        <v>169</v>
      </c>
      <c r="E103" s="43" t="s">
        <v>13</v>
      </c>
      <c r="F103" s="45">
        <v>112.32</v>
      </c>
      <c r="G103" s="46">
        <v>124.08</v>
      </c>
      <c r="H103" s="131">
        <v>120</v>
      </c>
      <c r="I103" s="46">
        <f>G103*H103</f>
        <v>14889.6</v>
      </c>
    </row>
    <row r="104" spans="1:9" s="5" customFormat="1" ht="22.5">
      <c r="A104" s="41" t="s">
        <v>170</v>
      </c>
      <c r="B104" s="42" t="s">
        <v>0</v>
      </c>
      <c r="C104" s="43">
        <v>91790</v>
      </c>
      <c r="D104" s="53" t="s">
        <v>171</v>
      </c>
      <c r="E104" s="43" t="s">
        <v>13</v>
      </c>
      <c r="F104" s="45">
        <v>45.87</v>
      </c>
      <c r="G104" s="46">
        <v>50.67</v>
      </c>
      <c r="H104" s="131">
        <f>25*3.5</f>
        <v>87.5</v>
      </c>
      <c r="I104" s="46">
        <f>G104*H104</f>
        <v>4433.625</v>
      </c>
    </row>
    <row r="105" spans="1:9" s="5" customFormat="1" ht="12.75">
      <c r="A105" s="120" t="s">
        <v>172</v>
      </c>
      <c r="B105" s="121" t="s">
        <v>0</v>
      </c>
      <c r="C105" s="122">
        <v>72285</v>
      </c>
      <c r="D105" s="151" t="s">
        <v>173</v>
      </c>
      <c r="E105" s="152" t="s">
        <v>11</v>
      </c>
      <c r="F105" s="124">
        <v>85.96</v>
      </c>
      <c r="G105" s="125">
        <v>94.96</v>
      </c>
      <c r="H105" s="126">
        <v>10</v>
      </c>
      <c r="I105" s="125">
        <f>G105*H105</f>
        <v>949.59999999999991</v>
      </c>
    </row>
    <row r="106" spans="1:9" s="5" customFormat="1" ht="12.75">
      <c r="A106" s="35" t="s">
        <v>103</v>
      </c>
      <c r="B106" s="36"/>
      <c r="C106" s="37"/>
      <c r="D106" s="38" t="s">
        <v>106</v>
      </c>
      <c r="E106" s="32"/>
      <c r="F106" s="9"/>
      <c r="G106" s="46"/>
      <c r="H106" s="8"/>
      <c r="I106" s="119">
        <f>SUM(I107:I115,I117:I119,I121:I127)</f>
        <v>45828.750000000015</v>
      </c>
    </row>
    <row r="107" spans="1:9" s="5" customFormat="1" ht="22.5">
      <c r="A107" s="41" t="s">
        <v>258</v>
      </c>
      <c r="B107" s="42" t="s">
        <v>0</v>
      </c>
      <c r="C107" s="43">
        <v>83397</v>
      </c>
      <c r="D107" s="53" t="s">
        <v>290</v>
      </c>
      <c r="E107" s="2" t="s">
        <v>11</v>
      </c>
      <c r="F107" s="45">
        <v>1200.6400000000001</v>
      </c>
      <c r="G107" s="46">
        <v>1326.4</v>
      </c>
      <c r="H107" s="47">
        <v>1</v>
      </c>
      <c r="I107" s="46">
        <f t="shared" ref="I107:I127" si="5">G107*H107</f>
        <v>1326.4</v>
      </c>
    </row>
    <row r="108" spans="1:9" s="5" customFormat="1" ht="22.5">
      <c r="A108" s="41" t="s">
        <v>259</v>
      </c>
      <c r="B108" s="42" t="s">
        <v>9</v>
      </c>
      <c r="C108" s="43">
        <v>1062</v>
      </c>
      <c r="D108" s="53" t="s">
        <v>293</v>
      </c>
      <c r="E108" s="2" t="s">
        <v>11</v>
      </c>
      <c r="F108" s="45">
        <v>148.30000000000001</v>
      </c>
      <c r="G108" s="46">
        <v>163.83000000000001</v>
      </c>
      <c r="H108" s="47">
        <v>1</v>
      </c>
      <c r="I108" s="46">
        <f t="shared" si="5"/>
        <v>163.83000000000001</v>
      </c>
    </row>
    <row r="109" spans="1:9" s="5" customFormat="1" ht="12.75">
      <c r="A109" s="41" t="s">
        <v>272</v>
      </c>
      <c r="B109" s="42" t="s">
        <v>0</v>
      </c>
      <c r="C109" s="43">
        <v>92986</v>
      </c>
      <c r="D109" s="53" t="s">
        <v>291</v>
      </c>
      <c r="E109" s="43" t="s">
        <v>13</v>
      </c>
      <c r="F109" s="45">
        <v>31.91</v>
      </c>
      <c r="G109" s="46">
        <v>35.24</v>
      </c>
      <c r="H109" s="47">
        <v>80</v>
      </c>
      <c r="I109" s="46">
        <f t="shared" si="5"/>
        <v>2819.2000000000003</v>
      </c>
    </row>
    <row r="110" spans="1:9" s="5" customFormat="1" ht="12.75">
      <c r="A110" s="41" t="s">
        <v>273</v>
      </c>
      <c r="B110" s="42" t="s">
        <v>0</v>
      </c>
      <c r="C110" s="43">
        <v>92984</v>
      </c>
      <c r="D110" s="53" t="s">
        <v>292</v>
      </c>
      <c r="E110" s="43" t="s">
        <v>13</v>
      </c>
      <c r="F110" s="45">
        <v>16.350000000000001</v>
      </c>
      <c r="G110" s="46">
        <v>18.059999999999999</v>
      </c>
      <c r="H110" s="47">
        <v>20</v>
      </c>
      <c r="I110" s="46">
        <f t="shared" si="5"/>
        <v>361.2</v>
      </c>
    </row>
    <row r="111" spans="1:9" s="5" customFormat="1" ht="12.75">
      <c r="A111" s="41" t="s">
        <v>274</v>
      </c>
      <c r="B111" s="42" t="s">
        <v>0</v>
      </c>
      <c r="C111" s="43">
        <v>92982</v>
      </c>
      <c r="D111" s="53" t="s">
        <v>296</v>
      </c>
      <c r="E111" s="43" t="s">
        <v>13</v>
      </c>
      <c r="F111" s="45">
        <v>9.66</v>
      </c>
      <c r="G111" s="46">
        <v>10.67</v>
      </c>
      <c r="H111" s="47">
        <v>30</v>
      </c>
      <c r="I111" s="46">
        <f t="shared" si="5"/>
        <v>320.10000000000002</v>
      </c>
    </row>
    <row r="112" spans="1:9" s="5" customFormat="1" ht="12.75">
      <c r="A112" s="41" t="s">
        <v>275</v>
      </c>
      <c r="B112" s="42" t="s">
        <v>0</v>
      </c>
      <c r="C112" s="43">
        <v>92980</v>
      </c>
      <c r="D112" s="53" t="s">
        <v>299</v>
      </c>
      <c r="E112" s="43" t="s">
        <v>13</v>
      </c>
      <c r="F112" s="45">
        <v>6.32</v>
      </c>
      <c r="G112" s="46">
        <v>6.98</v>
      </c>
      <c r="H112" s="47">
        <v>3</v>
      </c>
      <c r="I112" s="46">
        <f t="shared" si="5"/>
        <v>20.94</v>
      </c>
    </row>
    <row r="113" spans="1:9" s="5" customFormat="1" ht="12.75">
      <c r="A113" s="41" t="s">
        <v>276</v>
      </c>
      <c r="B113" s="42" t="s">
        <v>0</v>
      </c>
      <c r="C113" s="43">
        <v>91873</v>
      </c>
      <c r="D113" s="53" t="s">
        <v>297</v>
      </c>
      <c r="E113" s="2" t="s">
        <v>13</v>
      </c>
      <c r="F113" s="45">
        <v>14.98</v>
      </c>
      <c r="G113" s="46">
        <v>16.54</v>
      </c>
      <c r="H113" s="47">
        <v>20</v>
      </c>
      <c r="I113" s="46">
        <f t="shared" si="5"/>
        <v>330.79999999999995</v>
      </c>
    </row>
    <row r="114" spans="1:9" s="5" customFormat="1" ht="12.75">
      <c r="A114" s="41" t="s">
        <v>277</v>
      </c>
      <c r="B114" s="42" t="s">
        <v>0</v>
      </c>
      <c r="C114" s="43">
        <v>91870</v>
      </c>
      <c r="D114" s="53" t="s">
        <v>298</v>
      </c>
      <c r="E114" s="2" t="s">
        <v>13</v>
      </c>
      <c r="F114" s="45">
        <v>8.51</v>
      </c>
      <c r="G114" s="46">
        <v>9.39</v>
      </c>
      <c r="H114" s="47">
        <v>3</v>
      </c>
      <c r="I114" s="46">
        <f t="shared" si="5"/>
        <v>28.17</v>
      </c>
    </row>
    <row r="115" spans="1:9" s="5" customFormat="1" ht="22.5">
      <c r="A115" s="41" t="s">
        <v>278</v>
      </c>
      <c r="B115" s="42" t="s">
        <v>0</v>
      </c>
      <c r="C115" s="43">
        <v>97888</v>
      </c>
      <c r="D115" s="53" t="s">
        <v>289</v>
      </c>
      <c r="E115" s="2" t="s">
        <v>11</v>
      </c>
      <c r="F115" s="45">
        <v>397.47</v>
      </c>
      <c r="G115" s="46">
        <v>439.1</v>
      </c>
      <c r="H115" s="47">
        <v>2</v>
      </c>
      <c r="I115" s="46">
        <f t="shared" si="5"/>
        <v>878.2</v>
      </c>
    </row>
    <row r="116" spans="1:9" s="5" customFormat="1" ht="33.75">
      <c r="A116" s="120" t="s">
        <v>279</v>
      </c>
      <c r="B116" s="121" t="s">
        <v>0</v>
      </c>
      <c r="C116" s="122" t="s">
        <v>285</v>
      </c>
      <c r="D116" s="151" t="s">
        <v>284</v>
      </c>
      <c r="E116" s="152" t="s">
        <v>11</v>
      </c>
      <c r="F116" s="124">
        <v>981.86</v>
      </c>
      <c r="G116" s="125">
        <v>1084.7</v>
      </c>
      <c r="H116" s="126">
        <v>3</v>
      </c>
      <c r="I116" s="125">
        <f t="shared" si="5"/>
        <v>3254.1000000000004</v>
      </c>
    </row>
    <row r="117" spans="1:9" s="5" customFormat="1" ht="33.75">
      <c r="A117" s="159" t="s">
        <v>279</v>
      </c>
      <c r="B117" s="157"/>
      <c r="C117" s="157"/>
      <c r="D117" s="157" t="s">
        <v>581</v>
      </c>
      <c r="E117" s="154" t="s">
        <v>11</v>
      </c>
      <c r="F117" s="158"/>
      <c r="G117" s="204">
        <v>1680</v>
      </c>
      <c r="H117" s="155">
        <v>1</v>
      </c>
      <c r="I117" s="130">
        <f t="shared" si="5"/>
        <v>1680</v>
      </c>
    </row>
    <row r="118" spans="1:9" s="5" customFormat="1" ht="12.75">
      <c r="A118" s="41" t="s">
        <v>300</v>
      </c>
      <c r="B118" s="42" t="s">
        <v>0</v>
      </c>
      <c r="C118" s="43">
        <v>93654</v>
      </c>
      <c r="D118" s="53" t="s">
        <v>286</v>
      </c>
      <c r="E118" s="2" t="s">
        <v>11</v>
      </c>
      <c r="F118" s="45">
        <v>9.4</v>
      </c>
      <c r="G118" s="46">
        <v>10.37</v>
      </c>
      <c r="H118" s="131">
        <v>31</v>
      </c>
      <c r="I118" s="46">
        <f t="shared" si="5"/>
        <v>321.46999999999997</v>
      </c>
    </row>
    <row r="119" spans="1:9" s="5" customFormat="1" ht="12.75">
      <c r="A119" s="41" t="s">
        <v>301</v>
      </c>
      <c r="B119" s="42" t="s">
        <v>0</v>
      </c>
      <c r="C119" s="43">
        <v>93655</v>
      </c>
      <c r="D119" s="53" t="s">
        <v>287</v>
      </c>
      <c r="E119" s="2" t="s">
        <v>11</v>
      </c>
      <c r="F119" s="45">
        <v>10.33</v>
      </c>
      <c r="G119" s="46">
        <v>11.4</v>
      </c>
      <c r="H119" s="131">
        <v>8</v>
      </c>
      <c r="I119" s="46">
        <f t="shared" si="5"/>
        <v>91.2</v>
      </c>
    </row>
    <row r="120" spans="1:9" s="5" customFormat="1" ht="12.75">
      <c r="A120" s="120" t="s">
        <v>302</v>
      </c>
      <c r="B120" s="121" t="s">
        <v>0</v>
      </c>
      <c r="C120" s="122">
        <v>93657</v>
      </c>
      <c r="D120" s="151" t="s">
        <v>288</v>
      </c>
      <c r="E120" s="152" t="s">
        <v>11</v>
      </c>
      <c r="F120" s="124">
        <v>11.53</v>
      </c>
      <c r="G120" s="125">
        <v>12.73</v>
      </c>
      <c r="H120" s="126">
        <v>4</v>
      </c>
      <c r="I120" s="125">
        <f t="shared" si="5"/>
        <v>50.92</v>
      </c>
    </row>
    <row r="121" spans="1:9" s="5" customFormat="1" ht="22.5">
      <c r="A121" s="41" t="s">
        <v>303</v>
      </c>
      <c r="B121" s="42" t="s">
        <v>0</v>
      </c>
      <c r="C121" s="43" t="s">
        <v>295</v>
      </c>
      <c r="D121" s="53" t="s">
        <v>294</v>
      </c>
      <c r="E121" s="2" t="s">
        <v>11</v>
      </c>
      <c r="F121" s="45">
        <v>99.46</v>
      </c>
      <c r="G121" s="46">
        <v>109.87</v>
      </c>
      <c r="H121" s="47">
        <v>1</v>
      </c>
      <c r="I121" s="46">
        <f t="shared" si="5"/>
        <v>109.87</v>
      </c>
    </row>
    <row r="122" spans="1:9" s="5" customFormat="1" ht="12.75">
      <c r="A122" s="41" t="s">
        <v>304</v>
      </c>
      <c r="B122" s="42" t="s">
        <v>0</v>
      </c>
      <c r="C122" s="43">
        <v>93128</v>
      </c>
      <c r="D122" s="53" t="s">
        <v>280</v>
      </c>
      <c r="E122" s="2" t="s">
        <v>11</v>
      </c>
      <c r="F122" s="45">
        <v>115.2</v>
      </c>
      <c r="G122" s="46">
        <v>127.26</v>
      </c>
      <c r="H122" s="131">
        <v>85</v>
      </c>
      <c r="I122" s="46">
        <f t="shared" si="5"/>
        <v>10817.1</v>
      </c>
    </row>
    <row r="123" spans="1:9" s="5" customFormat="1" ht="12.75">
      <c r="A123" s="41" t="s">
        <v>305</v>
      </c>
      <c r="B123" s="42" t="s">
        <v>0</v>
      </c>
      <c r="C123" s="43">
        <v>93141</v>
      </c>
      <c r="D123" s="53" t="s">
        <v>282</v>
      </c>
      <c r="E123" s="2" t="s">
        <v>11</v>
      </c>
      <c r="F123" s="45">
        <v>137.76</v>
      </c>
      <c r="G123" s="46">
        <v>152.18</v>
      </c>
      <c r="H123" s="131">
        <v>132</v>
      </c>
      <c r="I123" s="46">
        <f t="shared" si="5"/>
        <v>20087.760000000002</v>
      </c>
    </row>
    <row r="124" spans="1:9" s="5" customFormat="1" ht="12.75">
      <c r="A124" s="41" t="s">
        <v>306</v>
      </c>
      <c r="B124" s="42" t="s">
        <v>0</v>
      </c>
      <c r="C124" s="43">
        <v>93143</v>
      </c>
      <c r="D124" s="53" t="s">
        <v>283</v>
      </c>
      <c r="E124" s="2" t="s">
        <v>11</v>
      </c>
      <c r="F124" s="45">
        <v>139.62</v>
      </c>
      <c r="G124" s="46">
        <v>154.24</v>
      </c>
      <c r="H124" s="131">
        <v>34</v>
      </c>
      <c r="I124" s="46">
        <f t="shared" si="5"/>
        <v>5244.16</v>
      </c>
    </row>
    <row r="125" spans="1:9" s="5" customFormat="1" ht="12.75">
      <c r="A125" s="41" t="s">
        <v>307</v>
      </c>
      <c r="B125" s="42" t="s">
        <v>0</v>
      </c>
      <c r="C125" s="43">
        <v>93144</v>
      </c>
      <c r="D125" s="53" t="s">
        <v>281</v>
      </c>
      <c r="E125" s="2" t="s">
        <v>11</v>
      </c>
      <c r="F125" s="45">
        <v>171.79</v>
      </c>
      <c r="G125" s="46">
        <v>189.77</v>
      </c>
      <c r="H125" s="131">
        <v>6</v>
      </c>
      <c r="I125" s="46">
        <f t="shared" si="5"/>
        <v>1138.6200000000001</v>
      </c>
    </row>
    <row r="126" spans="1:9" s="5" customFormat="1" ht="12.75">
      <c r="A126" s="127" t="s">
        <v>514</v>
      </c>
      <c r="B126" s="128"/>
      <c r="C126" s="128"/>
      <c r="D126" s="129" t="s">
        <v>512</v>
      </c>
      <c r="E126" s="154" t="s">
        <v>11</v>
      </c>
      <c r="F126" s="133"/>
      <c r="G126" s="204">
        <v>19.079999999999998</v>
      </c>
      <c r="H126" s="155">
        <v>1</v>
      </c>
      <c r="I126" s="130">
        <f t="shared" si="5"/>
        <v>19.079999999999998</v>
      </c>
    </row>
    <row r="127" spans="1:9" s="5" customFormat="1" ht="12.75">
      <c r="A127" s="127" t="s">
        <v>515</v>
      </c>
      <c r="B127" s="128"/>
      <c r="C127" s="128"/>
      <c r="D127" s="129" t="s">
        <v>513</v>
      </c>
      <c r="E127" s="154" t="s">
        <v>11</v>
      </c>
      <c r="F127" s="133"/>
      <c r="G127" s="204">
        <v>23.55</v>
      </c>
      <c r="H127" s="155">
        <v>3</v>
      </c>
      <c r="I127" s="130">
        <f t="shared" si="5"/>
        <v>70.650000000000006</v>
      </c>
    </row>
    <row r="128" spans="1:9" s="5" customFormat="1" ht="12.75">
      <c r="A128" s="35" t="s">
        <v>104</v>
      </c>
      <c r="B128" s="36"/>
      <c r="C128" s="37"/>
      <c r="D128" s="38" t="s">
        <v>211</v>
      </c>
      <c r="E128" s="32"/>
      <c r="F128" s="9"/>
      <c r="G128" s="46"/>
      <c r="H128" s="8"/>
      <c r="I128" s="119">
        <f>SUM(I129,I131:I132)</f>
        <v>6582.9900000000007</v>
      </c>
    </row>
    <row r="129" spans="1:9" s="5" customFormat="1" ht="12.75">
      <c r="A129" s="41" t="s">
        <v>260</v>
      </c>
      <c r="B129" s="42" t="s">
        <v>0</v>
      </c>
      <c r="C129" s="43">
        <v>98307</v>
      </c>
      <c r="D129" s="53" t="s">
        <v>174</v>
      </c>
      <c r="E129" s="2" t="s">
        <v>11</v>
      </c>
      <c r="F129" s="45">
        <v>38.99</v>
      </c>
      <c r="G129" s="46">
        <v>43.06</v>
      </c>
      <c r="H129" s="131">
        <v>50</v>
      </c>
      <c r="I129" s="46">
        <f>G129*H129</f>
        <v>2153</v>
      </c>
    </row>
    <row r="130" spans="1:9" s="5" customFormat="1" ht="12.75">
      <c r="A130" s="120" t="s">
        <v>261</v>
      </c>
      <c r="B130" s="121" t="s">
        <v>9</v>
      </c>
      <c r="C130" s="122">
        <v>39601</v>
      </c>
      <c r="D130" s="151" t="s">
        <v>175</v>
      </c>
      <c r="E130" s="152" t="s">
        <v>11</v>
      </c>
      <c r="F130" s="124">
        <v>22.23</v>
      </c>
      <c r="G130" s="125">
        <v>24.56</v>
      </c>
      <c r="H130" s="126">
        <v>40</v>
      </c>
      <c r="I130" s="125">
        <f>G130*H130</f>
        <v>982.4</v>
      </c>
    </row>
    <row r="131" spans="1:9" s="5" customFormat="1" ht="12.75">
      <c r="A131" s="41" t="s">
        <v>262</v>
      </c>
      <c r="B131" s="42" t="s">
        <v>0</v>
      </c>
      <c r="C131" s="43">
        <v>98297</v>
      </c>
      <c r="D131" s="53" t="s">
        <v>209</v>
      </c>
      <c r="E131" s="43" t="s">
        <v>13</v>
      </c>
      <c r="F131" s="45">
        <v>2.5499999999999998</v>
      </c>
      <c r="G131" s="46">
        <v>2.81</v>
      </c>
      <c r="H131" s="131">
        <v>1045</v>
      </c>
      <c r="I131" s="46">
        <f>G131*H131</f>
        <v>2936.4500000000003</v>
      </c>
    </row>
    <row r="132" spans="1:9" s="5" customFormat="1" ht="12.75">
      <c r="A132" s="41" t="s">
        <v>263</v>
      </c>
      <c r="B132" s="42" t="s">
        <v>0</v>
      </c>
      <c r="C132" s="43">
        <v>98302</v>
      </c>
      <c r="D132" s="53" t="s">
        <v>176</v>
      </c>
      <c r="E132" s="2" t="s">
        <v>11</v>
      </c>
      <c r="F132" s="45">
        <v>675.97</v>
      </c>
      <c r="G132" s="46">
        <v>746.77</v>
      </c>
      <c r="H132" s="47">
        <v>2</v>
      </c>
      <c r="I132" s="46">
        <f>G132*H132</f>
        <v>1493.54</v>
      </c>
    </row>
    <row r="133" spans="1:9" s="5" customFormat="1" ht="12.75">
      <c r="A133" s="177" t="s">
        <v>105</v>
      </c>
      <c r="B133" s="178"/>
      <c r="C133" s="179"/>
      <c r="D133" s="180" t="s">
        <v>66</v>
      </c>
      <c r="E133" s="181"/>
      <c r="F133" s="182"/>
      <c r="G133" s="125"/>
      <c r="H133" s="184"/>
      <c r="I133" s="185">
        <f>I134</f>
        <v>2881.54</v>
      </c>
    </row>
    <row r="134" spans="1:9" s="5" customFormat="1" ht="12.75">
      <c r="A134" s="120" t="s">
        <v>210</v>
      </c>
      <c r="B134" s="191" t="s">
        <v>269</v>
      </c>
      <c r="C134" s="122"/>
      <c r="D134" s="151" t="str">
        <f>UPPER("Infraestrutura Ar Split - Dutos / Elétrica")</f>
        <v>INFRAESTRUTURA AR SPLIT - DUTOS / ELÉTRICA</v>
      </c>
      <c r="E134" s="152" t="s">
        <v>11</v>
      </c>
      <c r="F134" s="124">
        <v>137.28</v>
      </c>
      <c r="G134" s="125">
        <v>151.66</v>
      </c>
      <c r="H134" s="126">
        <v>19</v>
      </c>
      <c r="I134" s="125">
        <f>G134*H134</f>
        <v>2881.54</v>
      </c>
    </row>
    <row r="135" spans="1:9" s="5" customFormat="1" ht="12.75">
      <c r="A135" s="33">
        <v>9</v>
      </c>
      <c r="B135" s="33"/>
      <c r="C135" s="33"/>
      <c r="D135" s="54" t="s">
        <v>107</v>
      </c>
      <c r="E135" s="79"/>
      <c r="F135" s="80"/>
      <c r="G135" s="81"/>
      <c r="H135" s="80"/>
      <c r="I135" s="118">
        <f>SUM(I136,I162)</f>
        <v>66178.782000000007</v>
      </c>
    </row>
    <row r="136" spans="1:9" s="5" customFormat="1" ht="12.75">
      <c r="A136" s="35" t="s">
        <v>101</v>
      </c>
      <c r="B136" s="36"/>
      <c r="C136" s="37"/>
      <c r="D136" s="38" t="s">
        <v>97</v>
      </c>
      <c r="E136" s="32"/>
      <c r="F136" s="9"/>
      <c r="G136" s="11"/>
      <c r="H136" s="8"/>
      <c r="I136" s="119">
        <f>SUM(I137:I140,I151:I161,I142:I146,I149)</f>
        <v>50522.921999999999</v>
      </c>
    </row>
    <row r="137" spans="1:9" s="5" customFormat="1" ht="22.5">
      <c r="A137" s="41" t="s">
        <v>128</v>
      </c>
      <c r="B137" s="42" t="s">
        <v>0</v>
      </c>
      <c r="C137" s="43">
        <v>86932</v>
      </c>
      <c r="D137" s="53" t="s">
        <v>247</v>
      </c>
      <c r="E137" s="2" t="s">
        <v>11</v>
      </c>
      <c r="F137" s="45">
        <v>420.59</v>
      </c>
      <c r="G137" s="46">
        <v>464.64</v>
      </c>
      <c r="H137" s="131">
        <v>9</v>
      </c>
      <c r="I137" s="46">
        <f t="shared" ref="I137:I151" si="6">G137*H137</f>
        <v>4181.76</v>
      </c>
    </row>
    <row r="138" spans="1:9" s="5" customFormat="1" ht="33.75">
      <c r="A138" s="41" t="s">
        <v>129</v>
      </c>
      <c r="B138" s="43" t="s">
        <v>22</v>
      </c>
      <c r="C138" s="43">
        <v>3</v>
      </c>
      <c r="D138" s="44" t="s">
        <v>248</v>
      </c>
      <c r="E138" s="2" t="s">
        <v>11</v>
      </c>
      <c r="F138" s="45">
        <f>[2]COMPOSIÇÕES!G36</f>
        <v>1415.9417030000002</v>
      </c>
      <c r="G138" s="46">
        <v>1564.26</v>
      </c>
      <c r="H138" s="131">
        <v>5</v>
      </c>
      <c r="I138" s="46">
        <f t="shared" si="6"/>
        <v>7821.3</v>
      </c>
    </row>
    <row r="139" spans="1:9" s="5" customFormat="1" ht="22.5">
      <c r="A139" s="41" t="s">
        <v>130</v>
      </c>
      <c r="B139" s="42" t="s">
        <v>0</v>
      </c>
      <c r="C139" s="43">
        <v>86943</v>
      </c>
      <c r="D139" s="53" t="s">
        <v>555</v>
      </c>
      <c r="E139" s="2" t="s">
        <v>11</v>
      </c>
      <c r="F139" s="45">
        <v>197.86</v>
      </c>
      <c r="G139" s="46">
        <v>218.58</v>
      </c>
      <c r="H139" s="131">
        <v>20</v>
      </c>
      <c r="I139" s="46">
        <f t="shared" si="6"/>
        <v>4371.6000000000004</v>
      </c>
    </row>
    <row r="140" spans="1:9" s="5" customFormat="1" ht="33.75">
      <c r="A140" s="41" t="s">
        <v>131</v>
      </c>
      <c r="B140" s="42" t="s">
        <v>12</v>
      </c>
      <c r="C140" s="43">
        <v>12292</v>
      </c>
      <c r="D140" s="53" t="s">
        <v>556</v>
      </c>
      <c r="E140" s="2" t="s">
        <v>11</v>
      </c>
      <c r="F140" s="45">
        <v>1260.9000000000001</v>
      </c>
      <c r="G140" s="46">
        <v>1392.98</v>
      </c>
      <c r="H140" s="131">
        <v>2</v>
      </c>
      <c r="I140" s="46">
        <f t="shared" si="6"/>
        <v>2785.96</v>
      </c>
    </row>
    <row r="141" spans="1:9" s="5" customFormat="1" ht="33.75">
      <c r="A141" s="120" t="s">
        <v>132</v>
      </c>
      <c r="B141" s="121" t="s">
        <v>12</v>
      </c>
      <c r="C141" s="122">
        <v>12261</v>
      </c>
      <c r="D141" s="151" t="s">
        <v>207</v>
      </c>
      <c r="E141" s="152" t="s">
        <v>11</v>
      </c>
      <c r="F141" s="124">
        <v>712.44</v>
      </c>
      <c r="G141" s="125">
        <v>787.06</v>
      </c>
      <c r="H141" s="126">
        <v>2</v>
      </c>
      <c r="I141" s="125">
        <f t="shared" si="6"/>
        <v>1574.12</v>
      </c>
    </row>
    <row r="142" spans="1:9" s="5" customFormat="1" ht="22.5">
      <c r="A142" s="41" t="s">
        <v>133</v>
      </c>
      <c r="B142" s="42" t="s">
        <v>12</v>
      </c>
      <c r="C142" s="43">
        <v>2074</v>
      </c>
      <c r="D142" s="53" t="s">
        <v>582</v>
      </c>
      <c r="E142" s="2" t="s">
        <v>11</v>
      </c>
      <c r="F142" s="45">
        <v>669.39</v>
      </c>
      <c r="G142" s="46">
        <v>739.5</v>
      </c>
      <c r="H142" s="131">
        <v>7</v>
      </c>
      <c r="I142" s="46">
        <f t="shared" si="6"/>
        <v>5176.5</v>
      </c>
    </row>
    <row r="143" spans="1:9" s="5" customFormat="1" ht="22.5">
      <c r="A143" s="41" t="s">
        <v>134</v>
      </c>
      <c r="B143" s="42" t="s">
        <v>1</v>
      </c>
      <c r="C143" s="43">
        <v>1</v>
      </c>
      <c r="D143" s="53" t="s">
        <v>557</v>
      </c>
      <c r="E143" s="2" t="s">
        <v>16</v>
      </c>
      <c r="F143" s="45">
        <f>[2]COTAÇÕES!G18</f>
        <v>1961.2908415841584</v>
      </c>
      <c r="G143" s="46">
        <v>2166.73</v>
      </c>
      <c r="H143" s="131">
        <v>2.4</v>
      </c>
      <c r="I143" s="46">
        <f t="shared" si="6"/>
        <v>5200.152</v>
      </c>
    </row>
    <row r="144" spans="1:9" s="5" customFormat="1" ht="12.75">
      <c r="A144" s="41" t="s">
        <v>212</v>
      </c>
      <c r="B144" s="42" t="s">
        <v>0</v>
      </c>
      <c r="C144" s="43">
        <v>86872</v>
      </c>
      <c r="D144" s="53" t="s">
        <v>178</v>
      </c>
      <c r="E144" s="2" t="s">
        <v>11</v>
      </c>
      <c r="F144" s="45">
        <v>623.59</v>
      </c>
      <c r="G144" s="46">
        <v>688.9</v>
      </c>
      <c r="H144" s="47">
        <v>1</v>
      </c>
      <c r="I144" s="46">
        <f t="shared" si="6"/>
        <v>688.9</v>
      </c>
    </row>
    <row r="145" spans="1:9" s="5" customFormat="1" ht="12.75">
      <c r="A145" s="41" t="s">
        <v>213</v>
      </c>
      <c r="B145" s="42" t="s">
        <v>9</v>
      </c>
      <c r="C145" s="43">
        <v>11688</v>
      </c>
      <c r="D145" s="53" t="s">
        <v>179</v>
      </c>
      <c r="E145" s="2" t="s">
        <v>11</v>
      </c>
      <c r="F145" s="45">
        <v>378.92</v>
      </c>
      <c r="G145" s="46">
        <v>418.6</v>
      </c>
      <c r="H145" s="47">
        <v>1</v>
      </c>
      <c r="I145" s="46">
        <f t="shared" si="6"/>
        <v>418.6</v>
      </c>
    </row>
    <row r="146" spans="1:9" s="5" customFormat="1" ht="12.75">
      <c r="A146" s="41" t="s">
        <v>214</v>
      </c>
      <c r="B146" s="42" t="s">
        <v>0</v>
      </c>
      <c r="C146" s="43">
        <v>9535</v>
      </c>
      <c r="D146" s="53" t="s">
        <v>180</v>
      </c>
      <c r="E146" s="2" t="s">
        <v>11</v>
      </c>
      <c r="F146" s="45">
        <v>60.43</v>
      </c>
      <c r="G146" s="46">
        <v>66.760000000000005</v>
      </c>
      <c r="H146" s="47">
        <v>2</v>
      </c>
      <c r="I146" s="46">
        <f t="shared" si="6"/>
        <v>133.52000000000001</v>
      </c>
    </row>
    <row r="147" spans="1:9" s="5" customFormat="1" ht="12.75">
      <c r="A147" s="120" t="s">
        <v>215</v>
      </c>
      <c r="B147" s="121" t="s">
        <v>9</v>
      </c>
      <c r="C147" s="122">
        <v>11777</v>
      </c>
      <c r="D147" s="151" t="s">
        <v>181</v>
      </c>
      <c r="E147" s="152" t="s">
        <v>11</v>
      </c>
      <c r="F147" s="124">
        <v>96.92</v>
      </c>
      <c r="G147" s="125">
        <v>107.07</v>
      </c>
      <c r="H147" s="126">
        <v>1</v>
      </c>
      <c r="I147" s="125">
        <f t="shared" si="6"/>
        <v>107.07</v>
      </c>
    </row>
    <row r="148" spans="1:9" s="5" customFormat="1" ht="12.75">
      <c r="A148" s="120" t="s">
        <v>216</v>
      </c>
      <c r="B148" s="121" t="s">
        <v>0</v>
      </c>
      <c r="C148" s="122">
        <v>86906</v>
      </c>
      <c r="D148" s="134" t="s">
        <v>271</v>
      </c>
      <c r="E148" s="152" t="s">
        <v>11</v>
      </c>
      <c r="F148" s="124">
        <v>66.42</v>
      </c>
      <c r="G148" s="125">
        <v>73.37</v>
      </c>
      <c r="H148" s="126">
        <v>2</v>
      </c>
      <c r="I148" s="125">
        <f t="shared" si="6"/>
        <v>146.74</v>
      </c>
    </row>
    <row r="149" spans="1:9" s="5" customFormat="1" ht="12.75">
      <c r="A149" s="41" t="s">
        <v>217</v>
      </c>
      <c r="B149" s="42" t="s">
        <v>9</v>
      </c>
      <c r="C149" s="43">
        <v>7602</v>
      </c>
      <c r="D149" s="192" t="s">
        <v>182</v>
      </c>
      <c r="E149" s="2" t="s">
        <v>11</v>
      </c>
      <c r="F149" s="45">
        <v>20.07</v>
      </c>
      <c r="G149" s="46">
        <v>22.17</v>
      </c>
      <c r="H149" s="47">
        <v>2</v>
      </c>
      <c r="I149" s="46">
        <f t="shared" si="6"/>
        <v>44.34</v>
      </c>
    </row>
    <row r="150" spans="1:9" s="5" customFormat="1" ht="12.75">
      <c r="A150" s="120" t="s">
        <v>218</v>
      </c>
      <c r="B150" s="121" t="s">
        <v>12</v>
      </c>
      <c r="C150" s="122">
        <v>802</v>
      </c>
      <c r="D150" s="151" t="s">
        <v>183</v>
      </c>
      <c r="E150" s="152" t="s">
        <v>11</v>
      </c>
      <c r="F150" s="124">
        <v>648.01</v>
      </c>
      <c r="G150" s="125">
        <v>715.88</v>
      </c>
      <c r="H150" s="126">
        <v>2</v>
      </c>
      <c r="I150" s="125">
        <f t="shared" si="6"/>
        <v>1431.76</v>
      </c>
    </row>
    <row r="151" spans="1:9" s="5" customFormat="1" ht="22.5">
      <c r="A151" s="194" t="s">
        <v>249</v>
      </c>
      <c r="B151" s="195" t="s">
        <v>9</v>
      </c>
      <c r="C151" s="196">
        <v>36081</v>
      </c>
      <c r="D151" s="193" t="s">
        <v>184</v>
      </c>
      <c r="E151" s="197" t="s">
        <v>11</v>
      </c>
      <c r="F151" s="198">
        <v>206.9</v>
      </c>
      <c r="G151" s="199">
        <v>228.57</v>
      </c>
      <c r="H151" s="94">
        <v>11</v>
      </c>
      <c r="I151" s="199">
        <f t="shared" si="6"/>
        <v>2514.27</v>
      </c>
    </row>
    <row r="152" spans="1:9" s="5" customFormat="1" ht="22.5">
      <c r="A152" s="127" t="s">
        <v>551</v>
      </c>
      <c r="B152" s="128" t="s">
        <v>9</v>
      </c>
      <c r="C152" s="128">
        <v>36082</v>
      </c>
      <c r="D152" s="129" t="s">
        <v>558</v>
      </c>
      <c r="E152" s="154" t="s">
        <v>11</v>
      </c>
      <c r="F152" s="130">
        <v>206.9</v>
      </c>
      <c r="G152" s="130">
        <v>294.52</v>
      </c>
      <c r="H152" s="131">
        <v>1</v>
      </c>
      <c r="I152" s="130">
        <f>G152*H152</f>
        <v>294.52</v>
      </c>
    </row>
    <row r="153" spans="1:9" s="5" customFormat="1" ht="12.75">
      <c r="A153" s="127" t="s">
        <v>552</v>
      </c>
      <c r="B153" s="128"/>
      <c r="C153" s="128"/>
      <c r="D153" s="129" t="s">
        <v>567</v>
      </c>
      <c r="E153" s="154" t="s">
        <v>11</v>
      </c>
      <c r="F153" s="130">
        <v>206.9</v>
      </c>
      <c r="G153" s="130">
        <v>191.49</v>
      </c>
      <c r="H153" s="131">
        <v>20</v>
      </c>
      <c r="I153" s="130">
        <f t="shared" ref="I153:I154" si="7">G153*H153</f>
        <v>3829.8</v>
      </c>
    </row>
    <row r="154" spans="1:9" s="5" customFormat="1" ht="22.5">
      <c r="A154" s="127" t="s">
        <v>553</v>
      </c>
      <c r="B154" s="128"/>
      <c r="C154" s="128"/>
      <c r="D154" s="129" t="s">
        <v>583</v>
      </c>
      <c r="E154" s="154" t="s">
        <v>11</v>
      </c>
      <c r="F154" s="130">
        <v>206.9</v>
      </c>
      <c r="G154" s="130">
        <v>926.3</v>
      </c>
      <c r="H154" s="131">
        <v>1</v>
      </c>
      <c r="I154" s="130">
        <f t="shared" si="7"/>
        <v>926.3</v>
      </c>
    </row>
    <row r="155" spans="1:9" s="5" customFormat="1" ht="22.5">
      <c r="A155" s="127" t="s">
        <v>559</v>
      </c>
      <c r="B155" s="128"/>
      <c r="C155" s="128"/>
      <c r="D155" s="168" t="s">
        <v>565</v>
      </c>
      <c r="E155" s="154" t="s">
        <v>11</v>
      </c>
      <c r="F155" s="133"/>
      <c r="G155" s="130">
        <v>322.39999999999998</v>
      </c>
      <c r="H155" s="131">
        <v>1</v>
      </c>
      <c r="I155" s="130">
        <f t="shared" ref="I155:I161" si="8">G155*H155</f>
        <v>322.39999999999998</v>
      </c>
    </row>
    <row r="156" spans="1:9" s="5" customFormat="1" ht="12.75">
      <c r="A156" s="127" t="s">
        <v>560</v>
      </c>
      <c r="B156" s="128"/>
      <c r="C156" s="128"/>
      <c r="D156" s="168" t="s">
        <v>564</v>
      </c>
      <c r="E156" s="154" t="s">
        <v>11</v>
      </c>
      <c r="F156" s="133"/>
      <c r="G156" s="130">
        <v>349</v>
      </c>
      <c r="H156" s="131">
        <v>1</v>
      </c>
      <c r="I156" s="130">
        <f t="shared" si="8"/>
        <v>349</v>
      </c>
    </row>
    <row r="157" spans="1:9" s="5" customFormat="1" ht="33.75">
      <c r="A157" s="127" t="s">
        <v>561</v>
      </c>
      <c r="B157" s="128"/>
      <c r="C157" s="128"/>
      <c r="D157" s="168" t="s">
        <v>569</v>
      </c>
      <c r="E157" s="154" t="s">
        <v>11</v>
      </c>
      <c r="F157" s="133"/>
      <c r="G157" s="130">
        <v>189.9</v>
      </c>
      <c r="H157" s="131">
        <v>9</v>
      </c>
      <c r="I157" s="130">
        <f t="shared" si="8"/>
        <v>1709.1000000000001</v>
      </c>
    </row>
    <row r="158" spans="1:9" s="5" customFormat="1" ht="33.75">
      <c r="A158" s="127" t="s">
        <v>562</v>
      </c>
      <c r="B158" s="128"/>
      <c r="C158" s="128"/>
      <c r="D158" s="168" t="s">
        <v>571</v>
      </c>
      <c r="E158" s="154" t="s">
        <v>11</v>
      </c>
      <c r="F158" s="133"/>
      <c r="G158" s="130">
        <v>419.8</v>
      </c>
      <c r="H158" s="131">
        <v>16</v>
      </c>
      <c r="I158" s="130">
        <f t="shared" si="8"/>
        <v>6716.8</v>
      </c>
    </row>
    <row r="159" spans="1:9" s="5" customFormat="1" ht="33.75">
      <c r="A159" s="127" t="s">
        <v>563</v>
      </c>
      <c r="B159" s="128"/>
      <c r="C159" s="128"/>
      <c r="D159" s="168" t="s">
        <v>568</v>
      </c>
      <c r="E159" s="154" t="s">
        <v>11</v>
      </c>
      <c r="F159" s="133"/>
      <c r="G159" s="130">
        <v>189.9</v>
      </c>
      <c r="H159" s="131">
        <v>10</v>
      </c>
      <c r="I159" s="130">
        <f t="shared" si="8"/>
        <v>1899</v>
      </c>
    </row>
    <row r="160" spans="1:9" s="5" customFormat="1" ht="22.5">
      <c r="A160" s="127" t="s">
        <v>570</v>
      </c>
      <c r="B160" s="128"/>
      <c r="C160" s="128"/>
      <c r="D160" s="168" t="s">
        <v>566</v>
      </c>
      <c r="E160" s="154" t="s">
        <v>11</v>
      </c>
      <c r="F160" s="133"/>
      <c r="G160" s="130">
        <v>189.9</v>
      </c>
      <c r="H160" s="131">
        <v>1</v>
      </c>
      <c r="I160" s="130">
        <f t="shared" si="8"/>
        <v>189.9</v>
      </c>
    </row>
    <row r="161" spans="1:11" s="5" customFormat="1" ht="12.75">
      <c r="A161" s="127" t="s">
        <v>572</v>
      </c>
      <c r="B161" s="128"/>
      <c r="C161" s="128"/>
      <c r="D161" s="168" t="s">
        <v>573</v>
      </c>
      <c r="E161" s="154" t="s">
        <v>11</v>
      </c>
      <c r="F161" s="133"/>
      <c r="G161" s="130">
        <v>67.8</v>
      </c>
      <c r="H161" s="155">
        <v>14</v>
      </c>
      <c r="I161" s="130">
        <f t="shared" si="8"/>
        <v>949.19999999999993</v>
      </c>
    </row>
    <row r="162" spans="1:11" s="5" customFormat="1" ht="12.75">
      <c r="A162" s="35" t="s">
        <v>110</v>
      </c>
      <c r="B162" s="36"/>
      <c r="C162" s="37"/>
      <c r="D162" s="38" t="s">
        <v>109</v>
      </c>
      <c r="E162" s="32"/>
      <c r="F162" s="9"/>
      <c r="G162" s="46"/>
      <c r="H162" s="8"/>
      <c r="I162" s="119">
        <f>SUM(I163:I164,I167:I170)</f>
        <v>15655.86</v>
      </c>
    </row>
    <row r="163" spans="1:11" s="5" customFormat="1" ht="12.75">
      <c r="A163" s="41" t="s">
        <v>253</v>
      </c>
      <c r="B163" s="13" t="s">
        <v>0</v>
      </c>
      <c r="C163" s="13">
        <v>97592</v>
      </c>
      <c r="D163" s="14" t="s">
        <v>267</v>
      </c>
      <c r="E163" s="15" t="s">
        <v>11</v>
      </c>
      <c r="F163" s="16">
        <v>97.04</v>
      </c>
      <c r="G163" s="46">
        <v>107.2</v>
      </c>
      <c r="H163" s="165">
        <v>14</v>
      </c>
      <c r="I163" s="46">
        <f t="shared" ref="I163:I169" si="9">G163*H163</f>
        <v>1500.8</v>
      </c>
    </row>
    <row r="164" spans="1:11" s="5" customFormat="1" ht="12.75">
      <c r="A164" s="41" t="s">
        <v>254</v>
      </c>
      <c r="B164" s="13" t="s">
        <v>0</v>
      </c>
      <c r="C164" s="13">
        <v>97607</v>
      </c>
      <c r="D164" s="14" t="s">
        <v>264</v>
      </c>
      <c r="E164" s="15" t="s">
        <v>11</v>
      </c>
      <c r="F164" s="16">
        <v>100.09</v>
      </c>
      <c r="G164" s="46">
        <v>110.57</v>
      </c>
      <c r="H164" s="16">
        <v>8</v>
      </c>
      <c r="I164" s="46">
        <f t="shared" si="9"/>
        <v>884.56</v>
      </c>
    </row>
    <row r="165" spans="1:11" s="5" customFormat="1" ht="22.5">
      <c r="A165" s="120" t="s">
        <v>255</v>
      </c>
      <c r="B165" s="160" t="s">
        <v>0</v>
      </c>
      <c r="C165" s="160" t="s">
        <v>266</v>
      </c>
      <c r="D165" s="166" t="s">
        <v>516</v>
      </c>
      <c r="E165" s="163" t="s">
        <v>11</v>
      </c>
      <c r="F165" s="164">
        <v>183.16</v>
      </c>
      <c r="G165" s="125">
        <v>202.34</v>
      </c>
      <c r="H165" s="164">
        <v>64</v>
      </c>
      <c r="I165" s="125">
        <f t="shared" si="9"/>
        <v>12949.76</v>
      </c>
    </row>
    <row r="166" spans="1:11" s="5" customFormat="1" ht="12.75">
      <c r="A166" s="120" t="s">
        <v>256</v>
      </c>
      <c r="B166" s="160" t="s">
        <v>0</v>
      </c>
      <c r="C166" s="161">
        <v>91955</v>
      </c>
      <c r="D166" s="162" t="s">
        <v>268</v>
      </c>
      <c r="E166" s="163" t="s">
        <v>11</v>
      </c>
      <c r="F166" s="164">
        <v>26.93</v>
      </c>
      <c r="G166" s="125">
        <v>29.74</v>
      </c>
      <c r="H166" s="164">
        <v>1</v>
      </c>
      <c r="I166" s="125">
        <f t="shared" si="9"/>
        <v>29.74</v>
      </c>
      <c r="K166" s="170"/>
    </row>
    <row r="167" spans="1:11" s="5" customFormat="1" ht="12.75">
      <c r="A167" s="41" t="s">
        <v>257</v>
      </c>
      <c r="B167" s="13" t="s">
        <v>0</v>
      </c>
      <c r="C167" s="17">
        <v>83399</v>
      </c>
      <c r="D167" s="18" t="s">
        <v>270</v>
      </c>
      <c r="E167" s="15" t="s">
        <v>11</v>
      </c>
      <c r="F167" s="16">
        <v>30.85</v>
      </c>
      <c r="G167" s="46">
        <v>34.08</v>
      </c>
      <c r="H167" s="16">
        <v>1</v>
      </c>
      <c r="I167" s="46">
        <f t="shared" si="9"/>
        <v>34.08</v>
      </c>
    </row>
    <row r="168" spans="1:11" s="5" customFormat="1" ht="12.75">
      <c r="A168" s="127" t="s">
        <v>517</v>
      </c>
      <c r="B168" s="167" t="s">
        <v>0</v>
      </c>
      <c r="C168" s="167" t="s">
        <v>266</v>
      </c>
      <c r="D168" s="168" t="s">
        <v>520</v>
      </c>
      <c r="E168" s="169" t="s">
        <v>11</v>
      </c>
      <c r="F168" s="165">
        <v>183.16</v>
      </c>
      <c r="G168" s="130">
        <v>202.34</v>
      </c>
      <c r="H168" s="165">
        <f>63-H169</f>
        <v>41</v>
      </c>
      <c r="I168" s="130">
        <f t="shared" si="9"/>
        <v>8295.94</v>
      </c>
    </row>
    <row r="169" spans="1:11" s="5" customFormat="1" ht="12.75">
      <c r="A169" s="127" t="s">
        <v>518</v>
      </c>
      <c r="B169" s="167" t="s">
        <v>0</v>
      </c>
      <c r="C169" s="167" t="s">
        <v>519</v>
      </c>
      <c r="D169" s="168" t="s">
        <v>521</v>
      </c>
      <c r="E169" s="169" t="s">
        <v>11</v>
      </c>
      <c r="F169" s="165">
        <v>183.16</v>
      </c>
      <c r="G169" s="130">
        <v>202.34</v>
      </c>
      <c r="H169" s="165">
        <v>22</v>
      </c>
      <c r="I169" s="130">
        <f t="shared" si="9"/>
        <v>4451.4800000000005</v>
      </c>
    </row>
    <row r="170" spans="1:11" s="5" customFormat="1" ht="15.75" customHeight="1">
      <c r="A170" s="127" t="s">
        <v>577</v>
      </c>
      <c r="B170" s="167"/>
      <c r="C170" s="167"/>
      <c r="D170" s="168" t="s">
        <v>576</v>
      </c>
      <c r="E170" s="169" t="s">
        <v>11</v>
      </c>
      <c r="F170" s="165">
        <v>183.16</v>
      </c>
      <c r="G170" s="130">
        <v>489</v>
      </c>
      <c r="H170" s="165">
        <v>1</v>
      </c>
      <c r="I170" s="130">
        <f>G170*H170</f>
        <v>489</v>
      </c>
    </row>
    <row r="171" spans="1:11" s="5" customFormat="1" ht="12.75">
      <c r="A171" s="171">
        <v>10</v>
      </c>
      <c r="B171" s="171"/>
      <c r="C171" s="171"/>
      <c r="D171" s="172" t="s">
        <v>67</v>
      </c>
      <c r="E171" s="173"/>
      <c r="F171" s="174"/>
      <c r="G171" s="175"/>
      <c r="H171" s="174"/>
      <c r="I171" s="176">
        <f>SUM(I172,I174,I179,I182)</f>
        <v>63338.038</v>
      </c>
    </row>
    <row r="172" spans="1:11" s="5" customFormat="1" ht="12.75">
      <c r="A172" s="177" t="s">
        <v>100</v>
      </c>
      <c r="B172" s="178"/>
      <c r="C172" s="179"/>
      <c r="D172" s="180" t="s">
        <v>115</v>
      </c>
      <c r="E172" s="181"/>
      <c r="F172" s="182"/>
      <c r="G172" s="183"/>
      <c r="H172" s="184"/>
      <c r="I172" s="185">
        <f>I173</f>
        <v>1503</v>
      </c>
    </row>
    <row r="173" spans="1:11" s="5" customFormat="1" ht="22.5">
      <c r="A173" s="120" t="s">
        <v>223</v>
      </c>
      <c r="B173" s="121" t="s">
        <v>0</v>
      </c>
      <c r="C173" s="122">
        <v>83336</v>
      </c>
      <c r="D173" s="151" t="s">
        <v>185</v>
      </c>
      <c r="E173" s="122" t="s">
        <v>186</v>
      </c>
      <c r="F173" s="124">
        <v>4.54</v>
      </c>
      <c r="G173" s="125">
        <v>5.01</v>
      </c>
      <c r="H173" s="126">
        <v>300</v>
      </c>
      <c r="I173" s="125">
        <f>G173*H173</f>
        <v>1503</v>
      </c>
    </row>
    <row r="174" spans="1:11" s="5" customFormat="1" ht="12.75">
      <c r="A174" s="177" t="s">
        <v>113</v>
      </c>
      <c r="B174" s="178"/>
      <c r="C174" s="179"/>
      <c r="D174" s="180" t="s">
        <v>220</v>
      </c>
      <c r="E174" s="179"/>
      <c r="F174" s="186"/>
      <c r="G174" s="125"/>
      <c r="H174" s="187"/>
      <c r="I174" s="188">
        <f>SUM(I175:I178)</f>
        <v>21270.292399999998</v>
      </c>
    </row>
    <row r="175" spans="1:11" s="5" customFormat="1" ht="22.5">
      <c r="A175" s="120" t="s">
        <v>224</v>
      </c>
      <c r="B175" s="121" t="s">
        <v>0</v>
      </c>
      <c r="C175" s="122">
        <v>83694</v>
      </c>
      <c r="D175" s="151" t="s">
        <v>187</v>
      </c>
      <c r="E175" s="122" t="s">
        <v>16</v>
      </c>
      <c r="F175" s="124">
        <v>15.17</v>
      </c>
      <c r="G175" s="125">
        <v>16.75</v>
      </c>
      <c r="H175" s="126">
        <v>604</v>
      </c>
      <c r="I175" s="125">
        <f>G175*H175</f>
        <v>10117</v>
      </c>
    </row>
    <row r="176" spans="1:11" s="5" customFormat="1" ht="22.5">
      <c r="A176" s="120" t="s">
        <v>225</v>
      </c>
      <c r="B176" s="121" t="s">
        <v>0</v>
      </c>
      <c r="C176" s="122">
        <v>95969</v>
      </c>
      <c r="D176" s="123" t="s">
        <v>250</v>
      </c>
      <c r="E176" s="122" t="s">
        <v>186</v>
      </c>
      <c r="F176" s="124">
        <v>2002.18</v>
      </c>
      <c r="G176" s="125">
        <v>2211.9</v>
      </c>
      <c r="H176" s="126">
        <v>0.88</v>
      </c>
      <c r="I176" s="125">
        <f>G176*H176</f>
        <v>1946.472</v>
      </c>
    </row>
    <row r="177" spans="1:13" s="5" customFormat="1" ht="22.5">
      <c r="A177" s="120" t="s">
        <v>226</v>
      </c>
      <c r="B177" s="121" t="s">
        <v>0</v>
      </c>
      <c r="C177" s="122">
        <v>94992</v>
      </c>
      <c r="D177" s="123" t="s">
        <v>191</v>
      </c>
      <c r="E177" s="122" t="s">
        <v>16</v>
      </c>
      <c r="F177" s="124">
        <v>62.59</v>
      </c>
      <c r="G177" s="125">
        <v>69.14</v>
      </c>
      <c r="H177" s="126">
        <v>18.46</v>
      </c>
      <c r="I177" s="125">
        <f>G177*H177</f>
        <v>1276.3244</v>
      </c>
    </row>
    <row r="178" spans="1:13" s="5" customFormat="1" ht="12.75">
      <c r="A178" s="120" t="s">
        <v>227</v>
      </c>
      <c r="B178" s="121" t="s">
        <v>0</v>
      </c>
      <c r="C178" s="122" t="s">
        <v>192</v>
      </c>
      <c r="D178" s="151" t="s">
        <v>193</v>
      </c>
      <c r="E178" s="122" t="s">
        <v>13</v>
      </c>
      <c r="F178" s="124">
        <v>338.62</v>
      </c>
      <c r="G178" s="125">
        <v>374.08</v>
      </c>
      <c r="H178" s="126">
        <v>21.2</v>
      </c>
      <c r="I178" s="125">
        <f>G178*H178</f>
        <v>7930.4959999999992</v>
      </c>
    </row>
    <row r="179" spans="1:13" s="5" customFormat="1" ht="12.75">
      <c r="A179" s="177" t="s">
        <v>114</v>
      </c>
      <c r="B179" s="178"/>
      <c r="C179" s="179"/>
      <c r="D179" s="180" t="s">
        <v>116</v>
      </c>
      <c r="E179" s="181"/>
      <c r="F179" s="182"/>
      <c r="G179" s="125"/>
      <c r="H179" s="184"/>
      <c r="I179" s="185">
        <f>SUM(I180:I181)</f>
        <v>22386.809999999998</v>
      </c>
    </row>
    <row r="180" spans="1:13" s="5" customFormat="1" ht="12.75">
      <c r="A180" s="120" t="s">
        <v>221</v>
      </c>
      <c r="B180" s="121" t="s">
        <v>0</v>
      </c>
      <c r="C180" s="122">
        <v>98655</v>
      </c>
      <c r="D180" s="123" t="s">
        <v>194</v>
      </c>
      <c r="E180" s="122" t="s">
        <v>13</v>
      </c>
      <c r="F180" s="124">
        <v>421.05</v>
      </c>
      <c r="G180" s="125">
        <v>465.15</v>
      </c>
      <c r="H180" s="126">
        <v>30</v>
      </c>
      <c r="I180" s="125">
        <f>G180*H180</f>
        <v>13954.5</v>
      </c>
    </row>
    <row r="181" spans="1:13" s="5" customFormat="1" ht="12.75">
      <c r="A181" s="120" t="s">
        <v>222</v>
      </c>
      <c r="B181" s="121" t="s">
        <v>0</v>
      </c>
      <c r="C181" s="122">
        <v>68054</v>
      </c>
      <c r="D181" s="151" t="s">
        <v>326</v>
      </c>
      <c r="E181" s="122" t="s">
        <v>16</v>
      </c>
      <c r="F181" s="124">
        <v>246.22</v>
      </c>
      <c r="G181" s="125">
        <v>272.01</v>
      </c>
      <c r="H181" s="135">
        <v>31</v>
      </c>
      <c r="I181" s="125">
        <f>G181*H181</f>
        <v>8432.31</v>
      </c>
    </row>
    <row r="182" spans="1:13" s="5" customFormat="1" ht="12.75">
      <c r="A182" s="177" t="s">
        <v>117</v>
      </c>
      <c r="B182" s="178"/>
      <c r="C182" s="179"/>
      <c r="D182" s="180" t="s">
        <v>219</v>
      </c>
      <c r="E182" s="181"/>
      <c r="F182" s="182"/>
      <c r="G182" s="125"/>
      <c r="H182" s="184"/>
      <c r="I182" s="185">
        <f>SUM(I183:I185)</f>
        <v>18177.935600000001</v>
      </c>
    </row>
    <row r="183" spans="1:13" s="5" customFormat="1" ht="22.5">
      <c r="A183" s="120" t="s">
        <v>118</v>
      </c>
      <c r="B183" s="121" t="s">
        <v>0</v>
      </c>
      <c r="C183" s="122">
        <v>92396</v>
      </c>
      <c r="D183" s="123" t="s">
        <v>188</v>
      </c>
      <c r="E183" s="122" t="s">
        <v>16</v>
      </c>
      <c r="F183" s="124">
        <v>50.3</v>
      </c>
      <c r="G183" s="125">
        <v>55.56</v>
      </c>
      <c r="H183" s="126">
        <v>221.76</v>
      </c>
      <c r="I183" s="125">
        <f>G183*H183</f>
        <v>12320.9856</v>
      </c>
    </row>
    <row r="184" spans="1:13" s="5" customFormat="1" ht="33.75">
      <c r="A184" s="120" t="s">
        <v>119</v>
      </c>
      <c r="B184" s="121" t="s">
        <v>0</v>
      </c>
      <c r="C184" s="122">
        <v>94273</v>
      </c>
      <c r="D184" s="123" t="s">
        <v>189</v>
      </c>
      <c r="E184" s="122" t="s">
        <v>13</v>
      </c>
      <c r="F184" s="124">
        <v>37.43</v>
      </c>
      <c r="G184" s="125">
        <v>41.34</v>
      </c>
      <c r="H184" s="126">
        <v>62.5</v>
      </c>
      <c r="I184" s="125">
        <f>G184*H184</f>
        <v>2583.75</v>
      </c>
    </row>
    <row r="185" spans="1:13" s="5" customFormat="1" ht="12.75">
      <c r="A185" s="120" t="s">
        <v>228</v>
      </c>
      <c r="B185" s="121" t="s">
        <v>9</v>
      </c>
      <c r="C185" s="122">
        <v>36178</v>
      </c>
      <c r="D185" s="151" t="s">
        <v>190</v>
      </c>
      <c r="E185" s="152" t="s">
        <v>11</v>
      </c>
      <c r="F185" s="124">
        <v>6.05</v>
      </c>
      <c r="G185" s="125">
        <v>6.68</v>
      </c>
      <c r="H185" s="189">
        <v>490</v>
      </c>
      <c r="I185" s="125">
        <f>G185*H185</f>
        <v>3273.2</v>
      </c>
    </row>
    <row r="186" spans="1:13" s="5" customFormat="1" ht="12.75">
      <c r="A186" s="33">
        <v>11</v>
      </c>
      <c r="B186" s="33"/>
      <c r="C186" s="33"/>
      <c r="D186" s="54" t="s">
        <v>111</v>
      </c>
      <c r="E186" s="79"/>
      <c r="F186" s="80"/>
      <c r="G186" s="81"/>
      <c r="H186" s="80"/>
      <c r="I186" s="118">
        <f>I187</f>
        <v>3366</v>
      </c>
    </row>
    <row r="187" spans="1:13" s="5" customFormat="1" ht="12.75">
      <c r="A187" s="35" t="s">
        <v>112</v>
      </c>
      <c r="B187" s="36"/>
      <c r="C187" s="37"/>
      <c r="D187" s="38" t="s">
        <v>195</v>
      </c>
      <c r="E187" s="32"/>
      <c r="F187" s="9"/>
      <c r="G187" s="11"/>
      <c r="H187" s="8"/>
      <c r="I187" s="119">
        <f>SUM(I188)</f>
        <v>3366</v>
      </c>
    </row>
    <row r="188" spans="1:13" s="5" customFormat="1" ht="12.75">
      <c r="A188" s="69" t="s">
        <v>229</v>
      </c>
      <c r="B188" s="70" t="s">
        <v>12</v>
      </c>
      <c r="C188" s="71">
        <v>2450</v>
      </c>
      <c r="D188" s="72" t="s">
        <v>230</v>
      </c>
      <c r="E188" s="71" t="s">
        <v>16</v>
      </c>
      <c r="F188" s="73">
        <v>1.69</v>
      </c>
      <c r="G188" s="46">
        <v>1.87</v>
      </c>
      <c r="H188" s="74">
        <v>1800</v>
      </c>
      <c r="I188" s="46">
        <f>G188*H188</f>
        <v>3366</v>
      </c>
    </row>
    <row r="189" spans="1:13" ht="30" customHeight="1">
      <c r="A189" s="75"/>
      <c r="B189" s="76"/>
      <c r="C189" s="76"/>
      <c r="D189" s="76"/>
      <c r="E189" s="76"/>
      <c r="F189" s="76"/>
      <c r="G189" s="91" t="s">
        <v>344</v>
      </c>
      <c r="H189" s="378">
        <f>SUM(I7,I11,I18,I24,I34,I52,I68,I85,I135,I186)</f>
        <v>561833.82032692013</v>
      </c>
      <c r="I189" s="379"/>
      <c r="M189" s="202"/>
    </row>
    <row r="190" spans="1:13" ht="12.75">
      <c r="A190" s="24"/>
      <c r="B190" s="24"/>
      <c r="C190" s="24"/>
      <c r="D190" s="24"/>
      <c r="E190" s="24"/>
      <c r="F190" s="24"/>
      <c r="G190" s="24"/>
      <c r="H190" s="24"/>
      <c r="I190" s="24"/>
    </row>
    <row r="193" spans="11:11" ht="15.75" customHeight="1">
      <c r="K193" s="202"/>
    </row>
  </sheetData>
  <mergeCells count="9">
    <mergeCell ref="A4:I4"/>
    <mergeCell ref="G5:I5"/>
    <mergeCell ref="H189:I189"/>
    <mergeCell ref="A5:A6"/>
    <mergeCell ref="B5:B6"/>
    <mergeCell ref="C5:C6"/>
    <mergeCell ref="D5:D6"/>
    <mergeCell ref="E5:E6"/>
    <mergeCell ref="F5:F6"/>
  </mergeCells>
  <printOptions horizontalCentered="1"/>
  <pageMargins left="0.51181102362204722" right="0.51181102362204722" top="1.1811023622047245" bottom="0.39370078740157483" header="0.19685039370078741" footer="0"/>
  <pageSetup paperSize="9" scale="87" fitToHeight="0" orientation="portrait" r:id="rId1"/>
  <headerFooter>
    <oddHeader>&amp;C&amp;G</oddHeader>
  </headerFooter>
  <colBreaks count="1" manualBreakCount="1">
    <brk id="9" max="1048575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K81"/>
  <sheetViews>
    <sheetView topLeftCell="A49" workbookViewId="0">
      <selection activeCell="P136" sqref="P136"/>
    </sheetView>
  </sheetViews>
  <sheetFormatPr defaultColWidth="14.42578125" defaultRowHeight="15.75" customHeight="1"/>
  <cols>
    <col min="1" max="1" width="7.85546875" style="3" customWidth="1"/>
    <col min="2" max="2" width="12.28515625" style="3" hidden="1" customWidth="1"/>
    <col min="3" max="3" width="9.85546875" style="3" hidden="1" customWidth="1"/>
    <col min="4" max="4" width="55.28515625" style="3" customWidth="1"/>
    <col min="5" max="5" width="10.7109375" style="3" customWidth="1"/>
    <col min="6" max="6" width="10.7109375" style="3" hidden="1" customWidth="1"/>
    <col min="7" max="9" width="10.7109375" style="3" customWidth="1"/>
    <col min="10" max="16384" width="14.42578125" style="3"/>
  </cols>
  <sheetData>
    <row r="1" spans="1:9" ht="15" customHeight="1">
      <c r="A1" s="262" t="s">
        <v>329</v>
      </c>
      <c r="B1" s="263"/>
      <c r="C1" s="264"/>
      <c r="D1" s="263"/>
      <c r="E1" s="265" t="s">
        <v>330</v>
      </c>
      <c r="F1" s="263"/>
      <c r="G1" s="263"/>
      <c r="H1" s="263"/>
      <c r="I1" s="266"/>
    </row>
    <row r="2" spans="1:9" ht="15" customHeight="1">
      <c r="A2" s="267" t="s">
        <v>340</v>
      </c>
      <c r="B2" s="205"/>
      <c r="C2" s="206"/>
      <c r="D2" s="205"/>
      <c r="E2" s="207" t="s">
        <v>331</v>
      </c>
      <c r="F2" s="205"/>
      <c r="G2" s="205"/>
      <c r="H2" s="205"/>
      <c r="I2" s="208"/>
    </row>
    <row r="3" spans="1:9" ht="5.25" customHeight="1">
      <c r="A3" s="268"/>
      <c r="B3" s="209"/>
      <c r="C3" s="209"/>
      <c r="D3" s="210"/>
      <c r="E3" s="210"/>
      <c r="F3" s="210"/>
      <c r="G3" s="210"/>
      <c r="H3" s="210"/>
      <c r="I3" s="211"/>
    </row>
    <row r="4" spans="1:9" ht="27" customHeight="1">
      <c r="A4" s="387" t="s">
        <v>598</v>
      </c>
      <c r="B4" s="388"/>
      <c r="C4" s="388"/>
      <c r="D4" s="388"/>
      <c r="E4" s="388"/>
      <c r="F4" s="388"/>
      <c r="G4" s="388"/>
      <c r="H4" s="388"/>
      <c r="I4" s="389"/>
    </row>
    <row r="5" spans="1:9" s="5" customFormat="1" ht="24" customHeight="1">
      <c r="A5" s="404" t="s">
        <v>3</v>
      </c>
      <c r="B5" s="406" t="s">
        <v>4</v>
      </c>
      <c r="C5" s="406" t="s">
        <v>5</v>
      </c>
      <c r="D5" s="406" t="s">
        <v>6</v>
      </c>
      <c r="E5" s="406" t="s">
        <v>2</v>
      </c>
      <c r="F5" s="408" t="s">
        <v>7</v>
      </c>
      <c r="G5" s="399" t="s">
        <v>335</v>
      </c>
      <c r="H5" s="400"/>
      <c r="I5" s="401"/>
    </row>
    <row r="6" spans="1:9" s="5" customFormat="1" ht="22.5">
      <c r="A6" s="405"/>
      <c r="B6" s="407"/>
      <c r="C6" s="407"/>
      <c r="D6" s="407"/>
      <c r="E6" s="407"/>
      <c r="F6" s="409"/>
      <c r="G6" s="212" t="s">
        <v>346</v>
      </c>
      <c r="H6" s="213" t="s">
        <v>334</v>
      </c>
      <c r="I6" s="214" t="s">
        <v>135</v>
      </c>
    </row>
    <row r="7" spans="1:9" s="5" customFormat="1" ht="12.75">
      <c r="A7" s="215">
        <v>3</v>
      </c>
      <c r="B7" s="215"/>
      <c r="C7" s="215"/>
      <c r="D7" s="216" t="s">
        <v>21</v>
      </c>
      <c r="E7" s="217"/>
      <c r="F7" s="218"/>
      <c r="G7" s="219"/>
      <c r="H7" s="218"/>
      <c r="I7" s="220">
        <f>I8</f>
        <v>4739.8999999999996</v>
      </c>
    </row>
    <row r="8" spans="1:9" s="5" customFormat="1" ht="12.75">
      <c r="A8" s="221" t="s">
        <v>26</v>
      </c>
      <c r="B8" s="222"/>
      <c r="C8" s="222"/>
      <c r="D8" s="221" t="s">
        <v>240</v>
      </c>
      <c r="E8" s="223"/>
      <c r="F8" s="224"/>
      <c r="G8" s="224"/>
      <c r="H8" s="225"/>
      <c r="I8" s="226">
        <f>SUM(I9:I11)</f>
        <v>4739.8999999999996</v>
      </c>
    </row>
    <row r="9" spans="1:9" s="5" customFormat="1" ht="12.75">
      <c r="A9" s="227" t="s">
        <v>509</v>
      </c>
      <c r="B9" s="228"/>
      <c r="C9" s="228"/>
      <c r="D9" s="229" t="s">
        <v>510</v>
      </c>
      <c r="E9" s="228" t="s">
        <v>186</v>
      </c>
      <c r="F9" s="230">
        <v>1.38</v>
      </c>
      <c r="G9" s="230">
        <v>52.12</v>
      </c>
      <c r="H9" s="231">
        <v>25</v>
      </c>
      <c r="I9" s="230">
        <f>G9*H9</f>
        <v>1303</v>
      </c>
    </row>
    <row r="10" spans="1:9" s="5" customFormat="1" ht="22.5">
      <c r="A10" s="227" t="s">
        <v>586</v>
      </c>
      <c r="B10" s="228"/>
      <c r="C10" s="228"/>
      <c r="D10" s="229" t="s">
        <v>588</v>
      </c>
      <c r="E10" s="2" t="s">
        <v>11</v>
      </c>
      <c r="F10" s="230">
        <v>1.38</v>
      </c>
      <c r="G10" s="232">
        <v>150</v>
      </c>
      <c r="H10" s="233">
        <v>14</v>
      </c>
      <c r="I10" s="230">
        <f t="shared" ref="I10:I11" si="0">G10*H10</f>
        <v>2100</v>
      </c>
    </row>
    <row r="11" spans="1:9" s="5" customFormat="1" ht="12.75">
      <c r="A11" s="227" t="s">
        <v>587</v>
      </c>
      <c r="B11" s="228"/>
      <c r="C11" s="228"/>
      <c r="D11" s="229" t="s">
        <v>589</v>
      </c>
      <c r="E11" s="2" t="s">
        <v>16</v>
      </c>
      <c r="F11" s="230">
        <v>2.38</v>
      </c>
      <c r="G11" s="232">
        <v>4.6100000000000003</v>
      </c>
      <c r="H11" s="231">
        <f>H34</f>
        <v>290</v>
      </c>
      <c r="I11" s="230">
        <f t="shared" si="0"/>
        <v>1336.9</v>
      </c>
    </row>
    <row r="12" spans="1:9" s="5" customFormat="1" ht="12.75">
      <c r="A12" s="215">
        <v>4</v>
      </c>
      <c r="B12" s="215"/>
      <c r="C12" s="215"/>
      <c r="D12" s="216" t="s">
        <v>50</v>
      </c>
      <c r="E12" s="217"/>
      <c r="F12" s="218"/>
      <c r="G12" s="219"/>
      <c r="H12" s="218"/>
      <c r="I12" s="220">
        <f>SUM(I13,I17)</f>
        <v>34598.969199999992</v>
      </c>
    </row>
    <row r="13" spans="1:9" s="5" customFormat="1" ht="12.75">
      <c r="A13" s="221" t="s">
        <v>27</v>
      </c>
      <c r="B13" s="222"/>
      <c r="C13" s="222"/>
      <c r="D13" s="221" t="s">
        <v>68</v>
      </c>
      <c r="E13" s="223"/>
      <c r="F13" s="224"/>
      <c r="G13" s="224"/>
      <c r="H13" s="225"/>
      <c r="I13" s="226">
        <f>SUM(I14:I14,I15:I16)</f>
        <v>19903.481199999995</v>
      </c>
    </row>
    <row r="14" spans="1:9" s="5" customFormat="1" ht="22.5">
      <c r="A14" s="227" t="s">
        <v>70</v>
      </c>
      <c r="B14" s="228" t="s">
        <v>22</v>
      </c>
      <c r="C14" s="228">
        <v>1</v>
      </c>
      <c r="D14" s="229" t="s">
        <v>138</v>
      </c>
      <c r="E14" s="228" t="s">
        <v>16</v>
      </c>
      <c r="F14" s="230">
        <f>[2]COMPOSIÇÕES!G7</f>
        <v>125.300318</v>
      </c>
      <c r="G14" s="230">
        <v>138.41999999999999</v>
      </c>
      <c r="H14" s="233">
        <f>('TA01 - PO compilada'!H27)-'PO - CONTRATO'!H23</f>
        <v>124.65</v>
      </c>
      <c r="I14" s="230">
        <f>G14*H14</f>
        <v>17254.053</v>
      </c>
    </row>
    <row r="15" spans="1:9" s="5" customFormat="1" ht="12.75">
      <c r="A15" s="227" t="s">
        <v>72</v>
      </c>
      <c r="B15" s="228" t="s">
        <v>0</v>
      </c>
      <c r="C15" s="228">
        <v>96372</v>
      </c>
      <c r="D15" s="229" t="s">
        <v>595</v>
      </c>
      <c r="E15" s="228" t="s">
        <v>16</v>
      </c>
      <c r="F15" s="230">
        <v>27.81</v>
      </c>
      <c r="G15" s="230">
        <v>30.71</v>
      </c>
      <c r="H15" s="233">
        <f>('MC - TA01'!E19)-'PO - CONTRATO'!H25</f>
        <v>81.869999999999891</v>
      </c>
      <c r="I15" s="230">
        <f>G15*H15</f>
        <v>2514.2276999999967</v>
      </c>
    </row>
    <row r="16" spans="1:9" s="5" customFormat="1" ht="12.75">
      <c r="A16" s="227" t="s">
        <v>73</v>
      </c>
      <c r="B16" s="228" t="s">
        <v>0</v>
      </c>
      <c r="C16" s="228">
        <v>96373</v>
      </c>
      <c r="D16" s="229" t="s">
        <v>596</v>
      </c>
      <c r="E16" s="228" t="s">
        <v>13</v>
      </c>
      <c r="F16" s="230">
        <v>7.73</v>
      </c>
      <c r="G16" s="230">
        <v>8.5299999999999994</v>
      </c>
      <c r="H16" s="233">
        <f>('MC - TA01'!F42)-'PO - CONTRATO'!H26</f>
        <v>15.849999999999994</v>
      </c>
      <c r="I16" s="230">
        <f>G16*H16</f>
        <v>135.20049999999995</v>
      </c>
    </row>
    <row r="17" spans="1:9" s="5" customFormat="1" ht="12.75">
      <c r="A17" s="221" t="s">
        <v>28</v>
      </c>
      <c r="B17" s="222"/>
      <c r="C17" s="222"/>
      <c r="D17" s="221" t="s">
        <v>242</v>
      </c>
      <c r="E17" s="223"/>
      <c r="F17" s="224"/>
      <c r="G17" s="224"/>
      <c r="H17" s="225"/>
      <c r="I17" s="226">
        <f>SUM(I18)</f>
        <v>14695.488000000001</v>
      </c>
    </row>
    <row r="18" spans="1:9" s="5" customFormat="1" ht="22.5">
      <c r="A18" s="227" t="s">
        <v>241</v>
      </c>
      <c r="B18" s="228" t="s">
        <v>0</v>
      </c>
      <c r="C18" s="228" t="s">
        <v>309</v>
      </c>
      <c r="D18" s="229" t="s">
        <v>389</v>
      </c>
      <c r="E18" s="228" t="s">
        <v>16</v>
      </c>
      <c r="F18" s="230">
        <v>322.72000000000003</v>
      </c>
      <c r="G18" s="232">
        <v>823</v>
      </c>
      <c r="H18" s="231">
        <f>'MC - TA01'!G49</f>
        <v>17.856000000000002</v>
      </c>
      <c r="I18" s="230">
        <f>G18*H18</f>
        <v>14695.488000000001</v>
      </c>
    </row>
    <row r="19" spans="1:9" s="5" customFormat="1" ht="12.75">
      <c r="A19" s="215">
        <v>5</v>
      </c>
      <c r="B19" s="215"/>
      <c r="C19" s="215"/>
      <c r="D19" s="216" t="s">
        <v>31</v>
      </c>
      <c r="E19" s="217"/>
      <c r="F19" s="218"/>
      <c r="G19" s="219"/>
      <c r="H19" s="218"/>
      <c r="I19" s="220">
        <f>SUM(I20,I26,I29)</f>
        <v>13963.601926920006</v>
      </c>
    </row>
    <row r="20" spans="1:9" s="10" customFormat="1" ht="12.75">
      <c r="A20" s="221" t="s">
        <v>32</v>
      </c>
      <c r="B20" s="222"/>
      <c r="C20" s="222"/>
      <c r="D20" s="221" t="s">
        <v>78</v>
      </c>
      <c r="E20" s="223"/>
      <c r="F20" s="224"/>
      <c r="G20" s="224"/>
      <c r="H20" s="225"/>
      <c r="I20" s="226">
        <f>SUM(I21:I25)</f>
        <v>9155.8776669199997</v>
      </c>
    </row>
    <row r="21" spans="1:9" s="5" customFormat="1" ht="33.75">
      <c r="A21" s="227" t="s">
        <v>75</v>
      </c>
      <c r="B21" s="228" t="s">
        <v>22</v>
      </c>
      <c r="C21" s="228">
        <f>[2]COMPOSIÇÕES!B53</f>
        <v>5</v>
      </c>
      <c r="D21" s="229" t="s">
        <v>592</v>
      </c>
      <c r="E21" s="228" t="s">
        <v>16</v>
      </c>
      <c r="F21" s="230">
        <f>[2]COMPOSIÇÕES!G53</f>
        <v>81.936199999999985</v>
      </c>
      <c r="G21" s="230">
        <v>93.83</v>
      </c>
      <c r="H21" s="231">
        <f>133-'PO - CONTRATO'!H31</f>
        <v>33</v>
      </c>
      <c r="I21" s="230">
        <f>G21*H21</f>
        <v>3096.39</v>
      </c>
    </row>
    <row r="22" spans="1:9" s="5" customFormat="1" ht="12.75">
      <c r="A22" s="227" t="s">
        <v>327</v>
      </c>
      <c r="B22" s="228"/>
      <c r="C22" s="228"/>
      <c r="D22" s="229" t="s">
        <v>485</v>
      </c>
      <c r="E22" s="234" t="s">
        <v>13</v>
      </c>
      <c r="F22" s="235"/>
      <c r="G22" s="232">
        <f>'TA01 - PO compilada'!G39</f>
        <v>64.52</v>
      </c>
      <c r="H22" s="231">
        <f>'MC - TA01'!C90</f>
        <v>6</v>
      </c>
      <c r="I22" s="230">
        <f t="shared" ref="I22:I25" si="1">G22*H22</f>
        <v>387.12</v>
      </c>
    </row>
    <row r="23" spans="1:9" s="5" customFormat="1" ht="12.75">
      <c r="A23" s="227" t="s">
        <v>392</v>
      </c>
      <c r="B23" s="228"/>
      <c r="C23" s="228"/>
      <c r="D23" s="229" t="s">
        <v>488</v>
      </c>
      <c r="E23" s="234" t="s">
        <v>13</v>
      </c>
      <c r="F23" s="235"/>
      <c r="G23" s="232">
        <f>G22*2</f>
        <v>129.04</v>
      </c>
      <c r="H23" s="231">
        <f>'MC - TA01'!C97</f>
        <v>5.3</v>
      </c>
      <c r="I23" s="230">
        <f t="shared" si="1"/>
        <v>683.91199999999992</v>
      </c>
    </row>
    <row r="24" spans="1:9" s="5" customFormat="1" ht="22.5">
      <c r="A24" s="227" t="s">
        <v>395</v>
      </c>
      <c r="B24" s="228"/>
      <c r="C24" s="228"/>
      <c r="D24" s="229" t="s">
        <v>396</v>
      </c>
      <c r="E24" s="234" t="s">
        <v>16</v>
      </c>
      <c r="F24" s="235"/>
      <c r="G24" s="232">
        <f>102.19*1.212</f>
        <v>123.85427999999999</v>
      </c>
      <c r="H24" s="231">
        <f>'MC - TA01'!C103</f>
        <v>3.7889999999999997</v>
      </c>
      <c r="I24" s="230">
        <f t="shared" si="1"/>
        <v>469.28386691999992</v>
      </c>
    </row>
    <row r="25" spans="1:9" s="5" customFormat="1" ht="12.75">
      <c r="A25" s="227" t="s">
        <v>487</v>
      </c>
      <c r="B25" s="228"/>
      <c r="C25" s="228"/>
      <c r="D25" s="229" t="s">
        <v>498</v>
      </c>
      <c r="E25" s="234" t="s">
        <v>16</v>
      </c>
      <c r="F25" s="235"/>
      <c r="G25" s="232">
        <f>9.57+3.3</f>
        <v>12.870000000000001</v>
      </c>
      <c r="H25" s="231">
        <f>'MC - TA01'!F109</f>
        <v>351.14</v>
      </c>
      <c r="I25" s="230">
        <f t="shared" si="1"/>
        <v>4519.1718000000001</v>
      </c>
    </row>
    <row r="26" spans="1:9" s="10" customFormat="1" ht="12.75">
      <c r="A26" s="221" t="s">
        <v>196</v>
      </c>
      <c r="B26" s="222"/>
      <c r="C26" s="222"/>
      <c r="D26" s="221" t="s">
        <v>82</v>
      </c>
      <c r="E26" s="223"/>
      <c r="F26" s="224"/>
      <c r="G26" s="224"/>
      <c r="H26" s="225"/>
      <c r="I26" s="226">
        <f>SUM(I27:I28)</f>
        <v>3619.3242600000062</v>
      </c>
    </row>
    <row r="27" spans="1:9" s="5" customFormat="1" ht="12.75">
      <c r="A27" s="227" t="s">
        <v>245</v>
      </c>
      <c r="B27" s="228" t="s">
        <v>12</v>
      </c>
      <c r="C27" s="228">
        <v>1996</v>
      </c>
      <c r="D27" s="229" t="s">
        <v>591</v>
      </c>
      <c r="E27" s="228" t="s">
        <v>16</v>
      </c>
      <c r="F27" s="230">
        <v>415.18</v>
      </c>
      <c r="G27" s="230">
        <v>458.67</v>
      </c>
      <c r="H27" s="231">
        <f>('MC - TA01'!H115)-'PO - CONTRATO'!H35</f>
        <v>3.0380000000000003</v>
      </c>
      <c r="I27" s="230">
        <f>G27*H27</f>
        <v>1393.4394600000001</v>
      </c>
    </row>
    <row r="28" spans="1:9" s="5" customFormat="1" ht="22.5">
      <c r="A28" s="227" t="s">
        <v>311</v>
      </c>
      <c r="B28" s="228" t="s">
        <v>22</v>
      </c>
      <c r="C28" s="228">
        <f>[2]COMPOSIÇÕES!B61</f>
        <v>6</v>
      </c>
      <c r="D28" s="229" t="s">
        <v>325</v>
      </c>
      <c r="E28" s="228" t="s">
        <v>16</v>
      </c>
      <c r="F28" s="230">
        <f>[2]COMPOSIÇÕES!G61</f>
        <v>64.417599999999993</v>
      </c>
      <c r="G28" s="230">
        <v>71.16</v>
      </c>
      <c r="H28" s="233">
        <f>('MC - TA01'!F128)-'PO - CONTRATO'!H36</f>
        <v>31.280000000000086</v>
      </c>
      <c r="I28" s="230">
        <f>G28*H28</f>
        <v>2225.8848000000062</v>
      </c>
    </row>
    <row r="29" spans="1:9" s="10" customFormat="1" ht="12.75">
      <c r="A29" s="221" t="s">
        <v>33</v>
      </c>
      <c r="B29" s="222"/>
      <c r="C29" s="222"/>
      <c r="D29" s="221" t="s">
        <v>34</v>
      </c>
      <c r="E29" s="223"/>
      <c r="F29" s="224"/>
      <c r="G29" s="224"/>
      <c r="H29" s="225"/>
      <c r="I29" s="226">
        <f>SUM(I30:I31)</f>
        <v>1188.4000000000001</v>
      </c>
    </row>
    <row r="30" spans="1:9" s="5" customFormat="1" ht="12.75">
      <c r="A30" s="227" t="s">
        <v>246</v>
      </c>
      <c r="B30" s="228" t="s">
        <v>0</v>
      </c>
      <c r="C30" s="228">
        <v>96114</v>
      </c>
      <c r="D30" s="229" t="s">
        <v>35</v>
      </c>
      <c r="E30" s="228" t="s">
        <v>16</v>
      </c>
      <c r="F30" s="230">
        <v>66.12</v>
      </c>
      <c r="G30" s="230">
        <v>73.040000000000006</v>
      </c>
      <c r="H30" s="231">
        <f>150-'PO - CONTRATO'!H39</f>
        <v>5</v>
      </c>
      <c r="I30" s="230">
        <f>G30*H30</f>
        <v>365.20000000000005</v>
      </c>
    </row>
    <row r="31" spans="1:9" s="5" customFormat="1" ht="12.75">
      <c r="A31" s="227" t="s">
        <v>511</v>
      </c>
      <c r="B31" s="228"/>
      <c r="C31" s="228"/>
      <c r="D31" s="236" t="s">
        <v>523</v>
      </c>
      <c r="E31" s="2" t="s">
        <v>11</v>
      </c>
      <c r="F31" s="230">
        <v>66.12</v>
      </c>
      <c r="G31" s="232">
        <v>102.9</v>
      </c>
      <c r="H31" s="231">
        <v>8</v>
      </c>
      <c r="I31" s="230">
        <f>G31*H31</f>
        <v>823.2</v>
      </c>
    </row>
    <row r="32" spans="1:9" s="5" customFormat="1" ht="12.75">
      <c r="A32" s="215">
        <v>6</v>
      </c>
      <c r="B32" s="215"/>
      <c r="C32" s="215"/>
      <c r="D32" s="216" t="s">
        <v>36</v>
      </c>
      <c r="E32" s="217"/>
      <c r="F32" s="218"/>
      <c r="G32" s="219"/>
      <c r="H32" s="218"/>
      <c r="I32" s="220">
        <f>SUM(I33)</f>
        <v>6817.9000000000005</v>
      </c>
    </row>
    <row r="33" spans="1:9" s="5" customFormat="1" ht="12.75">
      <c r="A33" s="221" t="s">
        <v>37</v>
      </c>
      <c r="B33" s="222"/>
      <c r="C33" s="222"/>
      <c r="D33" s="221" t="s">
        <v>82</v>
      </c>
      <c r="E33" s="223"/>
      <c r="F33" s="224"/>
      <c r="G33" s="224"/>
      <c r="H33" s="225"/>
      <c r="I33" s="226">
        <f>SUM(I34:I34)</f>
        <v>6817.9000000000005</v>
      </c>
    </row>
    <row r="34" spans="1:9" s="5" customFormat="1" ht="12.75">
      <c r="A34" s="227" t="s">
        <v>584</v>
      </c>
      <c r="B34" s="228" t="s">
        <v>0</v>
      </c>
      <c r="C34" s="228">
        <v>88490</v>
      </c>
      <c r="D34" s="229" t="s">
        <v>585</v>
      </c>
      <c r="E34" s="228" t="s">
        <v>16</v>
      </c>
      <c r="F34" s="230">
        <v>12.25</v>
      </c>
      <c r="G34" s="230">
        <v>23.51</v>
      </c>
      <c r="H34" s="231">
        <f>'TA01 - PO compilada'!H58</f>
        <v>290</v>
      </c>
      <c r="I34" s="230">
        <f>G34*H34</f>
        <v>6817.9000000000005</v>
      </c>
    </row>
    <row r="35" spans="1:9" s="5" customFormat="1" ht="12.75">
      <c r="A35" s="215">
        <v>7</v>
      </c>
      <c r="B35" s="215"/>
      <c r="C35" s="215"/>
      <c r="D35" s="216" t="s">
        <v>62</v>
      </c>
      <c r="E35" s="217"/>
      <c r="F35" s="218"/>
      <c r="G35" s="219"/>
      <c r="H35" s="218"/>
      <c r="I35" s="220">
        <f>SUM(I36,I38)</f>
        <v>6103.2000000000007</v>
      </c>
    </row>
    <row r="36" spans="1:9" s="5" customFormat="1" ht="12.75">
      <c r="A36" s="221" t="s">
        <v>59</v>
      </c>
      <c r="B36" s="222"/>
      <c r="C36" s="222"/>
      <c r="D36" s="221" t="s">
        <v>74</v>
      </c>
      <c r="E36" s="223"/>
      <c r="F36" s="224"/>
      <c r="G36" s="224"/>
      <c r="H36" s="225"/>
      <c r="I36" s="226">
        <f>SUM(I37:I37)</f>
        <v>3834.48</v>
      </c>
    </row>
    <row r="37" spans="1:9" s="5" customFormat="1" ht="12.75">
      <c r="A37" s="227" t="s">
        <v>88</v>
      </c>
      <c r="B37" s="228" t="s">
        <v>0</v>
      </c>
      <c r="C37" s="228">
        <v>90844</v>
      </c>
      <c r="D37" s="229" t="s">
        <v>139</v>
      </c>
      <c r="E37" s="2" t="s">
        <v>11</v>
      </c>
      <c r="F37" s="230">
        <v>867.73</v>
      </c>
      <c r="G37" s="230">
        <v>958.62</v>
      </c>
      <c r="H37" s="231">
        <f>23-'PO - CONTRATO'!H59</f>
        <v>4</v>
      </c>
      <c r="I37" s="230">
        <f t="shared" ref="I37" si="2">G37*H37</f>
        <v>3834.48</v>
      </c>
    </row>
    <row r="38" spans="1:9" s="5" customFormat="1" ht="12.75">
      <c r="A38" s="221" t="s">
        <v>60</v>
      </c>
      <c r="B38" s="222"/>
      <c r="C38" s="222"/>
      <c r="D38" s="221" t="s">
        <v>506</v>
      </c>
      <c r="E38" s="223"/>
      <c r="F38" s="224"/>
      <c r="G38" s="230"/>
      <c r="H38" s="225"/>
      <c r="I38" s="226">
        <f>SUM(I39:I39)</f>
        <v>2268.7200000000003</v>
      </c>
    </row>
    <row r="39" spans="1:9" s="5" customFormat="1" ht="12.75">
      <c r="A39" s="227" t="s">
        <v>507</v>
      </c>
      <c r="B39" s="228"/>
      <c r="C39" s="228"/>
      <c r="D39" s="229" t="s">
        <v>508</v>
      </c>
      <c r="E39" s="2" t="s">
        <v>11</v>
      </c>
      <c r="F39" s="235"/>
      <c r="G39" s="230">
        <v>63.02</v>
      </c>
      <c r="H39" s="237">
        <v>36</v>
      </c>
      <c r="I39" s="230">
        <f>G39*H39</f>
        <v>2268.7200000000003</v>
      </c>
    </row>
    <row r="40" spans="1:9" s="12" customFormat="1" ht="12.75">
      <c r="A40" s="216">
        <v>8</v>
      </c>
      <c r="B40" s="215"/>
      <c r="C40" s="215"/>
      <c r="D40" s="216" t="s">
        <v>142</v>
      </c>
      <c r="E40" s="217"/>
      <c r="F40" s="218"/>
      <c r="G40" s="219"/>
      <c r="H40" s="218"/>
      <c r="I40" s="220">
        <f>SUM(I41,I43,I52)</f>
        <v>14046.150000000001</v>
      </c>
    </row>
    <row r="41" spans="1:9" s="5" customFormat="1" ht="12.75">
      <c r="A41" s="221" t="s">
        <v>102</v>
      </c>
      <c r="B41" s="222"/>
      <c r="C41" s="222"/>
      <c r="D41" s="221" t="s">
        <v>166</v>
      </c>
      <c r="E41" s="223"/>
      <c r="F41" s="224"/>
      <c r="G41" s="230"/>
      <c r="H41" s="225"/>
      <c r="I41" s="226">
        <f>SUM(I42:I42)</f>
        <v>3722.4</v>
      </c>
    </row>
    <row r="42" spans="1:9" s="5" customFormat="1" ht="22.5">
      <c r="A42" s="227" t="s">
        <v>168</v>
      </c>
      <c r="B42" s="228" t="s">
        <v>0</v>
      </c>
      <c r="C42" s="228">
        <v>94229</v>
      </c>
      <c r="D42" s="229" t="s">
        <v>169</v>
      </c>
      <c r="E42" s="228" t="s">
        <v>13</v>
      </c>
      <c r="F42" s="230">
        <v>112.32</v>
      </c>
      <c r="G42" s="230">
        <v>124.08</v>
      </c>
      <c r="H42" s="231">
        <f>120-'PO - CONTRATO'!H91</f>
        <v>30</v>
      </c>
      <c r="I42" s="230">
        <f>G42*H42</f>
        <v>3722.4</v>
      </c>
    </row>
    <row r="43" spans="1:9" s="5" customFormat="1" ht="12.75">
      <c r="A43" s="221" t="s">
        <v>103</v>
      </c>
      <c r="B43" s="222"/>
      <c r="C43" s="222"/>
      <c r="D43" s="221" t="s">
        <v>106</v>
      </c>
      <c r="E43" s="223"/>
      <c r="F43" s="224"/>
      <c r="G43" s="230"/>
      <c r="H43" s="225"/>
      <c r="I43" s="226">
        <f>SUM(I44:I45,I46:I51)</f>
        <v>8709.7100000000009</v>
      </c>
    </row>
    <row r="44" spans="1:9" s="5" customFormat="1" ht="33.75">
      <c r="A44" s="238" t="s">
        <v>279</v>
      </c>
      <c r="B44" s="239"/>
      <c r="C44" s="239"/>
      <c r="D44" s="239" t="s">
        <v>581</v>
      </c>
      <c r="E44" s="2" t="s">
        <v>11</v>
      </c>
      <c r="F44" s="240"/>
      <c r="G44" s="232">
        <v>1680</v>
      </c>
      <c r="H44" s="237">
        <v>1</v>
      </c>
      <c r="I44" s="230">
        <f t="shared" ref="I44:I51" si="3">G44*H44</f>
        <v>1680</v>
      </c>
    </row>
    <row r="45" spans="1:9" s="5" customFormat="1" ht="12.75">
      <c r="A45" s="227" t="s">
        <v>300</v>
      </c>
      <c r="B45" s="228" t="s">
        <v>0</v>
      </c>
      <c r="C45" s="228">
        <v>93654</v>
      </c>
      <c r="D45" s="229" t="s">
        <v>286</v>
      </c>
      <c r="E45" s="2" t="s">
        <v>11</v>
      </c>
      <c r="F45" s="230">
        <v>9.4</v>
      </c>
      <c r="G45" s="230">
        <v>10.37</v>
      </c>
      <c r="H45" s="231">
        <f>31-'PO - CONTRATO'!H105</f>
        <v>28</v>
      </c>
      <c r="I45" s="230">
        <f t="shared" si="3"/>
        <v>290.35999999999996</v>
      </c>
    </row>
    <row r="46" spans="1:9" s="5" customFormat="1" ht="12.75">
      <c r="A46" s="227" t="s">
        <v>304</v>
      </c>
      <c r="B46" s="228" t="s">
        <v>0</v>
      </c>
      <c r="C46" s="228">
        <v>93128</v>
      </c>
      <c r="D46" s="229" t="s">
        <v>280</v>
      </c>
      <c r="E46" s="2" t="s">
        <v>11</v>
      </c>
      <c r="F46" s="230">
        <v>115.2</v>
      </c>
      <c r="G46" s="230">
        <v>127.26</v>
      </c>
      <c r="H46" s="231">
        <f>85-'PO - CONTRATO'!H109</f>
        <v>1</v>
      </c>
      <c r="I46" s="230">
        <f t="shared" si="3"/>
        <v>127.26</v>
      </c>
    </row>
    <row r="47" spans="1:9" s="5" customFormat="1" ht="12.75">
      <c r="A47" s="227" t="s">
        <v>305</v>
      </c>
      <c r="B47" s="228" t="s">
        <v>0</v>
      </c>
      <c r="C47" s="228">
        <v>93141</v>
      </c>
      <c r="D47" s="229" t="s">
        <v>282</v>
      </c>
      <c r="E47" s="2" t="s">
        <v>11</v>
      </c>
      <c r="F47" s="230">
        <v>137.76</v>
      </c>
      <c r="G47" s="230">
        <v>152.18</v>
      </c>
      <c r="H47" s="231">
        <f>132-'PO - CONTRATO'!H110</f>
        <v>13</v>
      </c>
      <c r="I47" s="230">
        <f t="shared" si="3"/>
        <v>1978.3400000000001</v>
      </c>
    </row>
    <row r="48" spans="1:9" s="5" customFormat="1" ht="12.75">
      <c r="A48" s="227" t="s">
        <v>306</v>
      </c>
      <c r="B48" s="228" t="s">
        <v>0</v>
      </c>
      <c r="C48" s="228">
        <v>93143</v>
      </c>
      <c r="D48" s="229" t="s">
        <v>283</v>
      </c>
      <c r="E48" s="2" t="s">
        <v>11</v>
      </c>
      <c r="F48" s="230">
        <v>139.62</v>
      </c>
      <c r="G48" s="230">
        <v>154.24</v>
      </c>
      <c r="H48" s="231">
        <f>34-'PO - CONTRATO'!H111</f>
        <v>27</v>
      </c>
      <c r="I48" s="230">
        <f t="shared" si="3"/>
        <v>4164.4800000000005</v>
      </c>
    </row>
    <row r="49" spans="1:9" s="5" customFormat="1" ht="12.75">
      <c r="A49" s="227" t="s">
        <v>307</v>
      </c>
      <c r="B49" s="228" t="s">
        <v>0</v>
      </c>
      <c r="C49" s="228">
        <v>93144</v>
      </c>
      <c r="D49" s="229" t="s">
        <v>281</v>
      </c>
      <c r="E49" s="2" t="s">
        <v>11</v>
      </c>
      <c r="F49" s="230">
        <v>171.79</v>
      </c>
      <c r="G49" s="230">
        <v>189.77</v>
      </c>
      <c r="H49" s="231">
        <f>6-'PO - CONTRATO'!H112</f>
        <v>2</v>
      </c>
      <c r="I49" s="230">
        <f t="shared" si="3"/>
        <v>379.54</v>
      </c>
    </row>
    <row r="50" spans="1:9" s="5" customFormat="1" ht="12.75">
      <c r="A50" s="227" t="s">
        <v>514</v>
      </c>
      <c r="B50" s="228"/>
      <c r="C50" s="228"/>
      <c r="D50" s="229" t="s">
        <v>512</v>
      </c>
      <c r="E50" s="2" t="s">
        <v>11</v>
      </c>
      <c r="F50" s="235"/>
      <c r="G50" s="232">
        <v>19.079999999999998</v>
      </c>
      <c r="H50" s="237">
        <v>1</v>
      </c>
      <c r="I50" s="230">
        <f t="shared" si="3"/>
        <v>19.079999999999998</v>
      </c>
    </row>
    <row r="51" spans="1:9" s="5" customFormat="1" ht="12.75">
      <c r="A51" s="227" t="s">
        <v>515</v>
      </c>
      <c r="B51" s="228"/>
      <c r="C51" s="228"/>
      <c r="D51" s="229" t="s">
        <v>513</v>
      </c>
      <c r="E51" s="2" t="s">
        <v>11</v>
      </c>
      <c r="F51" s="235"/>
      <c r="G51" s="232">
        <v>23.55</v>
      </c>
      <c r="H51" s="237">
        <v>3</v>
      </c>
      <c r="I51" s="230">
        <f t="shared" si="3"/>
        <v>70.650000000000006</v>
      </c>
    </row>
    <row r="52" spans="1:9" s="5" customFormat="1" ht="12.75">
      <c r="A52" s="221" t="s">
        <v>104</v>
      </c>
      <c r="B52" s="222"/>
      <c r="C52" s="222"/>
      <c r="D52" s="221" t="s">
        <v>211</v>
      </c>
      <c r="E52" s="223"/>
      <c r="F52" s="224"/>
      <c r="G52" s="230"/>
      <c r="H52" s="225"/>
      <c r="I52" s="226">
        <f>SUM(I53,I54:I54)</f>
        <v>1614.04</v>
      </c>
    </row>
    <row r="53" spans="1:9" s="5" customFormat="1" ht="12.75">
      <c r="A53" s="227" t="s">
        <v>260</v>
      </c>
      <c r="B53" s="228" t="s">
        <v>0</v>
      </c>
      <c r="C53" s="228">
        <v>98307</v>
      </c>
      <c r="D53" s="229" t="s">
        <v>174</v>
      </c>
      <c r="E53" s="2" t="s">
        <v>11</v>
      </c>
      <c r="F53" s="230">
        <v>38.99</v>
      </c>
      <c r="G53" s="230">
        <v>43.06</v>
      </c>
      <c r="H53" s="231">
        <f>50-'PO - CONTRATO'!H114</f>
        <v>29</v>
      </c>
      <c r="I53" s="230">
        <f>G53*H53</f>
        <v>1248.74</v>
      </c>
    </row>
    <row r="54" spans="1:9" s="5" customFormat="1" ht="12.75">
      <c r="A54" s="227" t="s">
        <v>262</v>
      </c>
      <c r="B54" s="228" t="s">
        <v>0</v>
      </c>
      <c r="C54" s="228">
        <v>98297</v>
      </c>
      <c r="D54" s="229" t="s">
        <v>209</v>
      </c>
      <c r="E54" s="228" t="s">
        <v>13</v>
      </c>
      <c r="F54" s="230">
        <v>2.5499999999999998</v>
      </c>
      <c r="G54" s="230">
        <v>2.81</v>
      </c>
      <c r="H54" s="231">
        <f>1045-'PO - CONTRATO'!H116</f>
        <v>130</v>
      </c>
      <c r="I54" s="230">
        <f>G54*H54</f>
        <v>365.3</v>
      </c>
    </row>
    <row r="55" spans="1:9" s="5" customFormat="1" ht="12.75">
      <c r="A55" s="215">
        <v>9</v>
      </c>
      <c r="B55" s="215"/>
      <c r="C55" s="215"/>
      <c r="D55" s="216" t="s">
        <v>107</v>
      </c>
      <c r="E55" s="217"/>
      <c r="F55" s="218"/>
      <c r="G55" s="219"/>
      <c r="H55" s="218"/>
      <c r="I55" s="220">
        <f>SUM(I56,I71)</f>
        <v>33402.187600000005</v>
      </c>
    </row>
    <row r="56" spans="1:9" s="5" customFormat="1" ht="12.75">
      <c r="A56" s="221" t="s">
        <v>101</v>
      </c>
      <c r="B56" s="222"/>
      <c r="C56" s="222"/>
      <c r="D56" s="221" t="s">
        <v>97</v>
      </c>
      <c r="E56" s="223"/>
      <c r="F56" s="224"/>
      <c r="G56" s="224"/>
      <c r="H56" s="225"/>
      <c r="I56" s="226">
        <f>SUM(I57:I70)</f>
        <v>19951.367600000005</v>
      </c>
    </row>
    <row r="57" spans="1:9" s="5" customFormat="1" ht="33.75">
      <c r="A57" s="227" t="s">
        <v>129</v>
      </c>
      <c r="B57" s="228" t="s">
        <v>22</v>
      </c>
      <c r="C57" s="228">
        <v>3</v>
      </c>
      <c r="D57" s="229" t="s">
        <v>248</v>
      </c>
      <c r="E57" s="2" t="s">
        <v>11</v>
      </c>
      <c r="F57" s="230">
        <f>[2]COMPOSIÇÕES!G36</f>
        <v>1415.9417030000002</v>
      </c>
      <c r="G57" s="230">
        <v>1564.26</v>
      </c>
      <c r="H57" s="231">
        <f>5-'PO - CONTRATO'!H123</f>
        <v>1</v>
      </c>
      <c r="I57" s="230">
        <f t="shared" ref="I57:I60" si="4">G57*H57</f>
        <v>1564.26</v>
      </c>
    </row>
    <row r="58" spans="1:9" s="5" customFormat="1" ht="22.5">
      <c r="A58" s="227" t="s">
        <v>130</v>
      </c>
      <c r="B58" s="228" t="s">
        <v>0</v>
      </c>
      <c r="C58" s="228">
        <v>86943</v>
      </c>
      <c r="D58" s="229" t="s">
        <v>555</v>
      </c>
      <c r="E58" s="2" t="s">
        <v>11</v>
      </c>
      <c r="F58" s="230">
        <v>197.86</v>
      </c>
      <c r="G58" s="230">
        <v>218.58</v>
      </c>
      <c r="H58" s="231">
        <f>20-'PO - CONTRATO'!H124</f>
        <v>4</v>
      </c>
      <c r="I58" s="230">
        <f t="shared" si="4"/>
        <v>874.32</v>
      </c>
    </row>
    <row r="59" spans="1:9" s="5" customFormat="1" ht="22.5">
      <c r="A59" s="227" t="s">
        <v>134</v>
      </c>
      <c r="B59" s="228" t="s">
        <v>1</v>
      </c>
      <c r="C59" s="228">
        <v>1</v>
      </c>
      <c r="D59" s="229" t="s">
        <v>557</v>
      </c>
      <c r="E59" s="2" t="s">
        <v>16</v>
      </c>
      <c r="F59" s="230">
        <f>[2]COTAÇÕES!G18</f>
        <v>1961.2908415841584</v>
      </c>
      <c r="G59" s="230">
        <v>2166.73</v>
      </c>
      <c r="H59" s="231">
        <f>2.4-'PO - CONTRATO'!H128</f>
        <v>0.12000000000000011</v>
      </c>
      <c r="I59" s="230">
        <f t="shared" si="4"/>
        <v>260.00760000000025</v>
      </c>
    </row>
    <row r="60" spans="1:9" s="5" customFormat="1" ht="12.75">
      <c r="A60" s="41" t="s">
        <v>214</v>
      </c>
      <c r="B60" s="42" t="s">
        <v>0</v>
      </c>
      <c r="C60" s="43">
        <v>9535</v>
      </c>
      <c r="D60" s="53" t="s">
        <v>180</v>
      </c>
      <c r="E60" s="2" t="s">
        <v>11</v>
      </c>
      <c r="F60" s="45">
        <v>60.43</v>
      </c>
      <c r="G60" s="46">
        <v>66.760000000000005</v>
      </c>
      <c r="H60" s="47">
        <v>1</v>
      </c>
      <c r="I60" s="46">
        <f t="shared" si="4"/>
        <v>66.760000000000005</v>
      </c>
    </row>
    <row r="61" spans="1:9" s="5" customFormat="1" ht="22.5">
      <c r="A61" s="227" t="s">
        <v>551</v>
      </c>
      <c r="B61" s="228" t="s">
        <v>9</v>
      </c>
      <c r="C61" s="228">
        <v>36082</v>
      </c>
      <c r="D61" s="229" t="s">
        <v>558</v>
      </c>
      <c r="E61" s="2" t="s">
        <v>11</v>
      </c>
      <c r="F61" s="230">
        <v>206.9</v>
      </c>
      <c r="G61" s="230">
        <v>294.52</v>
      </c>
      <c r="H61" s="231">
        <v>1</v>
      </c>
      <c r="I61" s="230">
        <f>G61*H61</f>
        <v>294.52</v>
      </c>
    </row>
    <row r="62" spans="1:9" s="5" customFormat="1" ht="12.75">
      <c r="A62" s="227" t="s">
        <v>552</v>
      </c>
      <c r="B62" s="228"/>
      <c r="C62" s="228"/>
      <c r="D62" s="229" t="s">
        <v>567</v>
      </c>
      <c r="E62" s="2" t="s">
        <v>11</v>
      </c>
      <c r="F62" s="230">
        <v>206.9</v>
      </c>
      <c r="G62" s="230">
        <v>191.49</v>
      </c>
      <c r="H62" s="231">
        <v>20</v>
      </c>
      <c r="I62" s="230">
        <f t="shared" ref="I62:I63" si="5">G62*H62</f>
        <v>3829.8</v>
      </c>
    </row>
    <row r="63" spans="1:9" s="5" customFormat="1" ht="22.5">
      <c r="A63" s="227" t="s">
        <v>553</v>
      </c>
      <c r="B63" s="228"/>
      <c r="C63" s="228"/>
      <c r="D63" s="229" t="s">
        <v>583</v>
      </c>
      <c r="E63" s="2" t="s">
        <v>11</v>
      </c>
      <c r="F63" s="230">
        <v>206.9</v>
      </c>
      <c r="G63" s="230">
        <v>926.3</v>
      </c>
      <c r="H63" s="231">
        <v>1</v>
      </c>
      <c r="I63" s="230">
        <f t="shared" si="5"/>
        <v>926.3</v>
      </c>
    </row>
    <row r="64" spans="1:9" s="5" customFormat="1" ht="22.5">
      <c r="A64" s="227" t="s">
        <v>559</v>
      </c>
      <c r="B64" s="228"/>
      <c r="C64" s="228"/>
      <c r="D64" s="14" t="s">
        <v>565</v>
      </c>
      <c r="E64" s="2" t="s">
        <v>11</v>
      </c>
      <c r="F64" s="235"/>
      <c r="G64" s="230">
        <v>322.39999999999998</v>
      </c>
      <c r="H64" s="231">
        <v>1</v>
      </c>
      <c r="I64" s="230">
        <f t="shared" ref="I64:I70" si="6">G64*H64</f>
        <v>322.39999999999998</v>
      </c>
    </row>
    <row r="65" spans="1:11" s="5" customFormat="1" ht="12.75">
      <c r="A65" s="227" t="s">
        <v>560</v>
      </c>
      <c r="B65" s="228"/>
      <c r="C65" s="228"/>
      <c r="D65" s="14" t="s">
        <v>564</v>
      </c>
      <c r="E65" s="2" t="s">
        <v>11</v>
      </c>
      <c r="F65" s="235"/>
      <c r="G65" s="230">
        <v>349</v>
      </c>
      <c r="H65" s="231">
        <v>1</v>
      </c>
      <c r="I65" s="230">
        <f t="shared" si="6"/>
        <v>349</v>
      </c>
    </row>
    <row r="66" spans="1:11" s="5" customFormat="1" ht="33.75">
      <c r="A66" s="227" t="s">
        <v>561</v>
      </c>
      <c r="B66" s="228"/>
      <c r="C66" s="228"/>
      <c r="D66" s="14" t="s">
        <v>569</v>
      </c>
      <c r="E66" s="2" t="s">
        <v>11</v>
      </c>
      <c r="F66" s="235"/>
      <c r="G66" s="230">
        <v>189.9</v>
      </c>
      <c r="H66" s="231">
        <v>9</v>
      </c>
      <c r="I66" s="230">
        <f t="shared" si="6"/>
        <v>1709.1000000000001</v>
      </c>
    </row>
    <row r="67" spans="1:11" s="5" customFormat="1" ht="33.75">
      <c r="A67" s="227" t="s">
        <v>562</v>
      </c>
      <c r="B67" s="228"/>
      <c r="C67" s="228"/>
      <c r="D67" s="14" t="s">
        <v>571</v>
      </c>
      <c r="E67" s="2" t="s">
        <v>11</v>
      </c>
      <c r="F67" s="235"/>
      <c r="G67" s="230">
        <v>419.8</v>
      </c>
      <c r="H67" s="231">
        <v>16</v>
      </c>
      <c r="I67" s="230">
        <f t="shared" si="6"/>
        <v>6716.8</v>
      </c>
    </row>
    <row r="68" spans="1:11" s="5" customFormat="1" ht="33.75">
      <c r="A68" s="227" t="s">
        <v>563</v>
      </c>
      <c r="B68" s="228"/>
      <c r="C68" s="228"/>
      <c r="D68" s="14" t="s">
        <v>568</v>
      </c>
      <c r="E68" s="2" t="s">
        <v>11</v>
      </c>
      <c r="F68" s="235"/>
      <c r="G68" s="230">
        <v>189.9</v>
      </c>
      <c r="H68" s="231">
        <v>10</v>
      </c>
      <c r="I68" s="230">
        <f t="shared" si="6"/>
        <v>1899</v>
      </c>
    </row>
    <row r="69" spans="1:11" s="5" customFormat="1" ht="22.5">
      <c r="A69" s="227" t="s">
        <v>570</v>
      </c>
      <c r="B69" s="228"/>
      <c r="C69" s="228"/>
      <c r="D69" s="14" t="s">
        <v>566</v>
      </c>
      <c r="E69" s="2" t="s">
        <v>11</v>
      </c>
      <c r="F69" s="235"/>
      <c r="G69" s="230">
        <v>189.9</v>
      </c>
      <c r="H69" s="231">
        <v>1</v>
      </c>
      <c r="I69" s="230">
        <f t="shared" si="6"/>
        <v>189.9</v>
      </c>
    </row>
    <row r="70" spans="1:11" s="5" customFormat="1" ht="12.75">
      <c r="A70" s="227" t="s">
        <v>572</v>
      </c>
      <c r="B70" s="228"/>
      <c r="C70" s="228"/>
      <c r="D70" s="14" t="s">
        <v>573</v>
      </c>
      <c r="E70" s="2" t="s">
        <v>11</v>
      </c>
      <c r="F70" s="235"/>
      <c r="G70" s="230">
        <v>67.8</v>
      </c>
      <c r="H70" s="237">
        <v>14</v>
      </c>
      <c r="I70" s="230">
        <f t="shared" si="6"/>
        <v>949.19999999999993</v>
      </c>
    </row>
    <row r="71" spans="1:11" s="5" customFormat="1" ht="12.75">
      <c r="A71" s="221" t="s">
        <v>110</v>
      </c>
      <c r="B71" s="222"/>
      <c r="C71" s="222"/>
      <c r="D71" s="221" t="s">
        <v>109</v>
      </c>
      <c r="E71" s="223"/>
      <c r="F71" s="224"/>
      <c r="G71" s="230"/>
      <c r="H71" s="225"/>
      <c r="I71" s="226">
        <f>SUM(I72:I72,I73:I75)</f>
        <v>13450.82</v>
      </c>
    </row>
    <row r="72" spans="1:11" s="5" customFormat="1" ht="12.75">
      <c r="A72" s="227" t="s">
        <v>253</v>
      </c>
      <c r="B72" s="13" t="s">
        <v>0</v>
      </c>
      <c r="C72" s="13">
        <v>97592</v>
      </c>
      <c r="D72" s="14" t="s">
        <v>267</v>
      </c>
      <c r="E72" s="15" t="s">
        <v>11</v>
      </c>
      <c r="F72" s="16">
        <v>97.04</v>
      </c>
      <c r="G72" s="230">
        <v>107.2</v>
      </c>
      <c r="H72" s="16">
        <f>14-'PO - CONTRATO'!H138</f>
        <v>2</v>
      </c>
      <c r="I72" s="230">
        <f t="shared" ref="I72:I74" si="7">G72*H72</f>
        <v>214.4</v>
      </c>
    </row>
    <row r="73" spans="1:11" s="5" customFormat="1" ht="12.75">
      <c r="A73" s="227" t="s">
        <v>517</v>
      </c>
      <c r="B73" s="13" t="s">
        <v>0</v>
      </c>
      <c r="C73" s="13" t="s">
        <v>266</v>
      </c>
      <c r="D73" s="14" t="s">
        <v>520</v>
      </c>
      <c r="E73" s="15" t="s">
        <v>11</v>
      </c>
      <c r="F73" s="16">
        <v>183.16</v>
      </c>
      <c r="G73" s="230">
        <v>202.34</v>
      </c>
      <c r="H73" s="16">
        <f>63-H74</f>
        <v>41</v>
      </c>
      <c r="I73" s="230">
        <f t="shared" si="7"/>
        <v>8295.94</v>
      </c>
    </row>
    <row r="74" spans="1:11" s="5" customFormat="1" ht="12.75">
      <c r="A74" s="227" t="s">
        <v>518</v>
      </c>
      <c r="B74" s="13" t="s">
        <v>0</v>
      </c>
      <c r="C74" s="13" t="s">
        <v>519</v>
      </c>
      <c r="D74" s="14" t="s">
        <v>521</v>
      </c>
      <c r="E74" s="15" t="s">
        <v>11</v>
      </c>
      <c r="F74" s="16">
        <v>183.16</v>
      </c>
      <c r="G74" s="230">
        <v>202.34</v>
      </c>
      <c r="H74" s="16">
        <v>22</v>
      </c>
      <c r="I74" s="230">
        <f t="shared" si="7"/>
        <v>4451.4800000000005</v>
      </c>
    </row>
    <row r="75" spans="1:11" s="5" customFormat="1" ht="15.75" customHeight="1">
      <c r="A75" s="227" t="s">
        <v>577</v>
      </c>
      <c r="B75" s="13"/>
      <c r="C75" s="13"/>
      <c r="D75" s="14" t="s">
        <v>576</v>
      </c>
      <c r="E75" s="15" t="s">
        <v>11</v>
      </c>
      <c r="F75" s="16">
        <v>183.16</v>
      </c>
      <c r="G75" s="230">
        <v>489</v>
      </c>
      <c r="H75" s="16">
        <v>1</v>
      </c>
      <c r="I75" s="230">
        <f>G75*H75</f>
        <v>489</v>
      </c>
    </row>
    <row r="76" spans="1:11" ht="30" customHeight="1">
      <c r="A76" s="241"/>
      <c r="B76" s="242"/>
      <c r="C76" s="242"/>
      <c r="D76" s="242"/>
      <c r="E76" s="242"/>
      <c r="F76" s="242"/>
      <c r="G76" s="243" t="s">
        <v>344</v>
      </c>
      <c r="H76" s="402">
        <f>SUM(I7,I12,I19,I32,I35,I40,I55)</f>
        <v>113671.90872692</v>
      </c>
      <c r="I76" s="403"/>
    </row>
    <row r="77" spans="1:11" ht="12.75">
      <c r="A77" s="24"/>
      <c r="B77" s="24"/>
      <c r="C77" s="24"/>
      <c r="D77" s="24"/>
      <c r="E77" s="24"/>
      <c r="F77" s="24"/>
      <c r="G77" s="24"/>
      <c r="H77" s="24"/>
      <c r="I77" s="24"/>
    </row>
    <row r="80" spans="1:11" ht="15.75" customHeight="1">
      <c r="K80" s="202"/>
    </row>
    <row r="81" spans="11:11" ht="15.75" customHeight="1">
      <c r="K81" s="202"/>
    </row>
  </sheetData>
  <mergeCells count="9">
    <mergeCell ref="G5:I5"/>
    <mergeCell ref="H76:I76"/>
    <mergeCell ref="A4:I4"/>
    <mergeCell ref="A5:A6"/>
    <mergeCell ref="B5:B6"/>
    <mergeCell ref="C5:C6"/>
    <mergeCell ref="D5:D6"/>
    <mergeCell ref="E5:E6"/>
    <mergeCell ref="F5:F6"/>
  </mergeCells>
  <printOptions horizontalCentered="1"/>
  <pageMargins left="0.51181102362204722" right="0.51181102362204722" top="1.1811023622047245" bottom="0.39370078740157483" header="0.19685039370078741" footer="0"/>
  <pageSetup paperSize="9" scale="87" fitToHeight="0" orientation="portrait" r:id="rId1"/>
  <headerFooter>
    <oddHeader>&amp;C&amp;G</oddHeader>
  </headerFooter>
  <colBreaks count="1" manualBreakCount="1">
    <brk id="9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I72"/>
  <sheetViews>
    <sheetView workbookViewId="0">
      <selection activeCell="P136" sqref="P136"/>
    </sheetView>
  </sheetViews>
  <sheetFormatPr defaultColWidth="14.42578125" defaultRowHeight="15.75" customHeight="1"/>
  <cols>
    <col min="1" max="1" width="7.85546875" style="3" customWidth="1"/>
    <col min="2" max="2" width="12.28515625" style="3" hidden="1" customWidth="1"/>
    <col min="3" max="3" width="9.85546875" style="3" hidden="1" customWidth="1"/>
    <col min="4" max="4" width="55.28515625" style="3" customWidth="1"/>
    <col min="5" max="5" width="10.7109375" style="3" customWidth="1"/>
    <col min="6" max="6" width="10.7109375" style="3" hidden="1" customWidth="1"/>
    <col min="7" max="9" width="10.7109375" style="3" customWidth="1"/>
    <col min="10" max="16384" width="14.42578125" style="3"/>
  </cols>
  <sheetData>
    <row r="1" spans="1:9" ht="15" customHeight="1">
      <c r="A1" s="252" t="s">
        <v>329</v>
      </c>
      <c r="B1" s="276"/>
      <c r="C1" s="277"/>
      <c r="D1" s="276"/>
      <c r="E1" s="278" t="s">
        <v>330</v>
      </c>
      <c r="F1" s="276"/>
      <c r="G1" s="276"/>
      <c r="H1" s="276"/>
      <c r="I1" s="279"/>
    </row>
    <row r="2" spans="1:9" ht="15" customHeight="1">
      <c r="A2" s="269" t="s">
        <v>340</v>
      </c>
      <c r="B2" s="270"/>
      <c r="C2" s="271"/>
      <c r="D2" s="272"/>
      <c r="E2" s="273" t="s">
        <v>331</v>
      </c>
      <c r="F2" s="272"/>
      <c r="G2" s="272"/>
      <c r="H2" s="272"/>
      <c r="I2" s="274"/>
    </row>
    <row r="3" spans="1:9" ht="5.25" customHeight="1">
      <c r="A3" s="275"/>
      <c r="B3" s="61"/>
      <c r="C3" s="61"/>
      <c r="D3" s="115"/>
      <c r="E3" s="115"/>
      <c r="F3" s="115"/>
      <c r="G3" s="115"/>
      <c r="H3" s="115"/>
      <c r="I3" s="116"/>
    </row>
    <row r="4" spans="1:9" s="5" customFormat="1" ht="24" customHeight="1">
      <c r="A4" s="387" t="s">
        <v>599</v>
      </c>
      <c r="B4" s="388"/>
      <c r="C4" s="388"/>
      <c r="D4" s="388"/>
      <c r="E4" s="388"/>
      <c r="F4" s="388"/>
      <c r="G4" s="388"/>
      <c r="H4" s="388"/>
      <c r="I4" s="389"/>
    </row>
    <row r="5" spans="1:9" s="5" customFormat="1" ht="12.75">
      <c r="A5" s="410" t="s">
        <v>3</v>
      </c>
      <c r="B5" s="380" t="s">
        <v>4</v>
      </c>
      <c r="C5" s="380" t="s">
        <v>5</v>
      </c>
      <c r="D5" s="380" t="s">
        <v>6</v>
      </c>
      <c r="E5" s="380" t="s">
        <v>2</v>
      </c>
      <c r="F5" s="382" t="s">
        <v>7</v>
      </c>
      <c r="G5" s="384" t="s">
        <v>335</v>
      </c>
      <c r="H5" s="385"/>
      <c r="I5" s="386"/>
    </row>
    <row r="6" spans="1:9" s="5" customFormat="1" ht="22.5">
      <c r="A6" s="411"/>
      <c r="B6" s="381"/>
      <c r="C6" s="381"/>
      <c r="D6" s="381"/>
      <c r="E6" s="381"/>
      <c r="F6" s="383"/>
      <c r="G6" s="93" t="s">
        <v>346</v>
      </c>
      <c r="H6" s="64" t="s">
        <v>334</v>
      </c>
      <c r="I6" s="117" t="s">
        <v>135</v>
      </c>
    </row>
    <row r="7" spans="1:9" s="5" customFormat="1" ht="12.75">
      <c r="A7" s="215">
        <v>4</v>
      </c>
      <c r="B7" s="215"/>
      <c r="C7" s="215"/>
      <c r="D7" s="216" t="s">
        <v>50</v>
      </c>
      <c r="E7" s="217"/>
      <c r="F7" s="218"/>
      <c r="G7" s="219"/>
      <c r="H7" s="218"/>
      <c r="I7" s="220">
        <f>SUM(I8,I11)</f>
        <v>-12606.519300000005</v>
      </c>
    </row>
    <row r="8" spans="1:9" s="5" customFormat="1" ht="12.75">
      <c r="A8" s="221" t="s">
        <v>27</v>
      </c>
      <c r="B8" s="222"/>
      <c r="C8" s="222"/>
      <c r="D8" s="221" t="s">
        <v>68</v>
      </c>
      <c r="E8" s="223"/>
      <c r="F8" s="224"/>
      <c r="G8" s="224"/>
      <c r="H8" s="225"/>
      <c r="I8" s="226">
        <f>SUM(I9:I10)</f>
        <v>-5119.5993000000053</v>
      </c>
    </row>
    <row r="9" spans="1:9" s="5" customFormat="1" ht="22.5">
      <c r="A9" s="227" t="s">
        <v>69</v>
      </c>
      <c r="B9" s="228" t="s">
        <v>0</v>
      </c>
      <c r="C9" s="228">
        <v>96359</v>
      </c>
      <c r="D9" s="229" t="s">
        <v>48</v>
      </c>
      <c r="E9" s="228" t="s">
        <v>16</v>
      </c>
      <c r="F9" s="230">
        <v>99.65</v>
      </c>
      <c r="G9" s="230">
        <v>110.09</v>
      </c>
      <c r="H9" s="233">
        <f>('MC - TA01'!E9)-'PO - CONTRATO'!H22</f>
        <v>-13.890000000000043</v>
      </c>
      <c r="I9" s="230">
        <f>G9*H9</f>
        <v>-1529.1501000000048</v>
      </c>
    </row>
    <row r="10" spans="1:9" s="5" customFormat="1" ht="22.5">
      <c r="A10" s="244" t="s">
        <v>71</v>
      </c>
      <c r="B10" s="245" t="s">
        <v>22</v>
      </c>
      <c r="C10" s="245">
        <v>2</v>
      </c>
      <c r="D10" s="236" t="s">
        <v>49</v>
      </c>
      <c r="E10" s="245" t="s">
        <v>16</v>
      </c>
      <c r="F10" s="232">
        <f>[2]COMPOSIÇÕES!G21</f>
        <v>112.49583799999999</v>
      </c>
      <c r="G10" s="232">
        <v>124.28</v>
      </c>
      <c r="H10" s="233">
        <f>81-'PO - CONTRATO'!H24</f>
        <v>-28.89</v>
      </c>
      <c r="I10" s="232">
        <f>G10*H10</f>
        <v>-3590.4492</v>
      </c>
    </row>
    <row r="11" spans="1:9" s="5" customFormat="1" ht="12.75">
      <c r="A11" s="221" t="s">
        <v>28</v>
      </c>
      <c r="B11" s="222"/>
      <c r="C11" s="222"/>
      <c r="D11" s="221" t="s">
        <v>242</v>
      </c>
      <c r="E11" s="223"/>
      <c r="F11" s="224"/>
      <c r="G11" s="224"/>
      <c r="H11" s="225"/>
      <c r="I11" s="226">
        <f>SUM(I12)</f>
        <v>-7486.92</v>
      </c>
    </row>
    <row r="12" spans="1:9" s="5" customFormat="1" ht="22.5">
      <c r="A12" s="227" t="s">
        <v>241</v>
      </c>
      <c r="B12" s="228" t="s">
        <v>0</v>
      </c>
      <c r="C12" s="228" t="s">
        <v>309</v>
      </c>
      <c r="D12" s="229" t="s">
        <v>310</v>
      </c>
      <c r="E12" s="228" t="s">
        <v>16</v>
      </c>
      <c r="F12" s="230">
        <v>322.72000000000003</v>
      </c>
      <c r="G12" s="230">
        <v>356.52</v>
      </c>
      <c r="H12" s="231">
        <v>-21</v>
      </c>
      <c r="I12" s="230">
        <f>G12*H12</f>
        <v>-7486.92</v>
      </c>
    </row>
    <row r="13" spans="1:9" s="10" customFormat="1" ht="12.75">
      <c r="A13" s="215">
        <v>5</v>
      </c>
      <c r="B13" s="215"/>
      <c r="C13" s="215"/>
      <c r="D13" s="216" t="s">
        <v>31</v>
      </c>
      <c r="E13" s="217"/>
      <c r="F13" s="218"/>
      <c r="G13" s="219"/>
      <c r="H13" s="218"/>
      <c r="I13" s="220">
        <f>SUM(I14,I17)</f>
        <v>-7058.9120000000012</v>
      </c>
    </row>
    <row r="14" spans="1:9" s="5" customFormat="1" ht="12.75">
      <c r="A14" s="221" t="s">
        <v>32</v>
      </c>
      <c r="B14" s="222"/>
      <c r="C14" s="222"/>
      <c r="D14" s="221" t="s">
        <v>78</v>
      </c>
      <c r="E14" s="223"/>
      <c r="F14" s="224"/>
      <c r="G14" s="224"/>
      <c r="H14" s="225"/>
      <c r="I14" s="226">
        <f>SUM(I15:I16)</f>
        <v>-1394.5340000000003</v>
      </c>
    </row>
    <row r="15" spans="1:9" s="5" customFormat="1" ht="12.75">
      <c r="A15" s="227" t="s">
        <v>76</v>
      </c>
      <c r="B15" s="228" t="s">
        <v>0</v>
      </c>
      <c r="C15" s="228">
        <v>88649</v>
      </c>
      <c r="D15" s="229" t="s">
        <v>308</v>
      </c>
      <c r="E15" s="228" t="s">
        <v>13</v>
      </c>
      <c r="F15" s="230">
        <v>5.12</v>
      </c>
      <c r="G15" s="230">
        <v>5.65</v>
      </c>
      <c r="H15" s="231">
        <f>'MC - TA01'!B71-'PO - CONTRATO'!H32</f>
        <v>-164.60000000000002</v>
      </c>
      <c r="I15" s="230">
        <f>G15*H15</f>
        <v>-929.99000000000024</v>
      </c>
    </row>
    <row r="16" spans="1:9" s="10" customFormat="1" ht="12.75">
      <c r="A16" s="227" t="s">
        <v>77</v>
      </c>
      <c r="B16" s="228" t="s">
        <v>0</v>
      </c>
      <c r="C16" s="228">
        <v>98689</v>
      </c>
      <c r="D16" s="229" t="s">
        <v>593</v>
      </c>
      <c r="E16" s="228" t="s">
        <v>13</v>
      </c>
      <c r="F16" s="230">
        <v>87.61</v>
      </c>
      <c r="G16" s="230">
        <v>96.78</v>
      </c>
      <c r="H16" s="231">
        <f>'MC - TA01'!C79-'PO - CONTRATO'!H33</f>
        <v>-4.8000000000000007</v>
      </c>
      <c r="I16" s="230">
        <f>G16*H16</f>
        <v>-464.5440000000001</v>
      </c>
    </row>
    <row r="17" spans="1:9" s="5" customFormat="1" ht="16.5" customHeight="1">
      <c r="A17" s="221" t="s">
        <v>313</v>
      </c>
      <c r="B17" s="222"/>
      <c r="C17" s="222"/>
      <c r="D17" s="221" t="s">
        <v>87</v>
      </c>
      <c r="E17" s="223"/>
      <c r="F17" s="224"/>
      <c r="G17" s="224"/>
      <c r="H17" s="225"/>
      <c r="I17" s="226">
        <f>SUM(I18)</f>
        <v>-5664.3780000000006</v>
      </c>
    </row>
    <row r="18" spans="1:9" s="5" customFormat="1" ht="22.5">
      <c r="A18" s="227" t="s">
        <v>314</v>
      </c>
      <c r="B18" s="228" t="s">
        <v>22</v>
      </c>
      <c r="C18" s="228">
        <f>[2]COMPOSIÇÕES!B46</f>
        <v>4</v>
      </c>
      <c r="D18" s="229" t="s">
        <v>252</v>
      </c>
      <c r="E18" s="228" t="s">
        <v>16</v>
      </c>
      <c r="F18" s="230">
        <f>[2]COMPOSIÇÕES!G46</f>
        <v>101.29941300000002</v>
      </c>
      <c r="G18" s="230">
        <v>111.9</v>
      </c>
      <c r="H18" s="231">
        <f>(130*1.5*1.05)-'PO - CONTRATO'!H41</f>
        <v>-50.620000000000005</v>
      </c>
      <c r="I18" s="230">
        <f>G18*H18</f>
        <v>-5664.3780000000006</v>
      </c>
    </row>
    <row r="19" spans="1:9" s="10" customFormat="1" ht="12.75">
      <c r="A19" s="215">
        <v>6</v>
      </c>
      <c r="B19" s="215"/>
      <c r="C19" s="215"/>
      <c r="D19" s="216" t="s">
        <v>36</v>
      </c>
      <c r="E19" s="217"/>
      <c r="F19" s="218"/>
      <c r="G19" s="219"/>
      <c r="H19" s="218"/>
      <c r="I19" s="220">
        <f>SUM(I20)</f>
        <v>-627.58389999999895</v>
      </c>
    </row>
    <row r="20" spans="1:9" s="5" customFormat="1" ht="12.75">
      <c r="A20" s="221" t="s">
        <v>42</v>
      </c>
      <c r="B20" s="222"/>
      <c r="C20" s="222"/>
      <c r="D20" s="246" t="s">
        <v>93</v>
      </c>
      <c r="E20" s="223"/>
      <c r="F20" s="224"/>
      <c r="G20" s="230"/>
      <c r="H20" s="225"/>
      <c r="I20" s="226">
        <f>SUM(I21:I22)</f>
        <v>-627.58389999999895</v>
      </c>
    </row>
    <row r="21" spans="1:9" s="5" customFormat="1" ht="12.75">
      <c r="A21" s="227" t="s">
        <v>85</v>
      </c>
      <c r="B21" s="228" t="s">
        <v>0</v>
      </c>
      <c r="C21" s="228">
        <v>84679</v>
      </c>
      <c r="D21" s="229" t="s">
        <v>51</v>
      </c>
      <c r="E21" s="228" t="s">
        <v>16</v>
      </c>
      <c r="F21" s="230">
        <v>18.55</v>
      </c>
      <c r="G21" s="230">
        <v>20.48</v>
      </c>
      <c r="H21" s="233">
        <f>'TA01 - PO compilada'!H63-'PO - CONTRATO'!H52</f>
        <v>-13.429999999999978</v>
      </c>
      <c r="I21" s="230">
        <f>G21*H21</f>
        <v>-275.04639999999955</v>
      </c>
    </row>
    <row r="22" spans="1:9" s="5" customFormat="1" ht="22.5">
      <c r="A22" s="227" t="s">
        <v>322</v>
      </c>
      <c r="B22" s="228" t="s">
        <v>0</v>
      </c>
      <c r="C22" s="228" t="s">
        <v>52</v>
      </c>
      <c r="D22" s="229" t="s">
        <v>54</v>
      </c>
      <c r="E22" s="228" t="s">
        <v>16</v>
      </c>
      <c r="F22" s="230">
        <v>23.77</v>
      </c>
      <c r="G22" s="230">
        <v>26.25</v>
      </c>
      <c r="H22" s="233">
        <f>'TA01 - PO compilada'!H64-'PO - CONTRATO'!H53</f>
        <v>-13.429999999999978</v>
      </c>
      <c r="I22" s="230">
        <f>G22*H22</f>
        <v>-352.53749999999945</v>
      </c>
    </row>
    <row r="23" spans="1:9" s="5" customFormat="1" ht="12.75">
      <c r="A23" s="215">
        <v>7</v>
      </c>
      <c r="B23" s="215"/>
      <c r="C23" s="215"/>
      <c r="D23" s="216" t="s">
        <v>62</v>
      </c>
      <c r="E23" s="217"/>
      <c r="F23" s="218"/>
      <c r="G23" s="219"/>
      <c r="H23" s="218"/>
      <c r="I23" s="220">
        <f>SUM(I24,I29)</f>
        <v>-10873.728000000001</v>
      </c>
    </row>
    <row r="24" spans="1:9" s="5" customFormat="1" ht="12.75">
      <c r="A24" s="221" t="s">
        <v>59</v>
      </c>
      <c r="B24" s="222"/>
      <c r="C24" s="222"/>
      <c r="D24" s="221" t="s">
        <v>74</v>
      </c>
      <c r="E24" s="223"/>
      <c r="F24" s="224"/>
      <c r="G24" s="224"/>
      <c r="H24" s="225"/>
      <c r="I24" s="226">
        <f>SUM(I25:I25,I26:I28)</f>
        <v>-10396.300800000001</v>
      </c>
    </row>
    <row r="25" spans="1:9" s="5" customFormat="1" ht="12.75">
      <c r="A25" s="227" t="s">
        <v>89</v>
      </c>
      <c r="B25" s="228" t="s">
        <v>0</v>
      </c>
      <c r="C25" s="228">
        <v>90843</v>
      </c>
      <c r="D25" s="229" t="s">
        <v>140</v>
      </c>
      <c r="E25" s="2" t="s">
        <v>11</v>
      </c>
      <c r="F25" s="230">
        <v>835.78</v>
      </c>
      <c r="G25" s="230">
        <v>923.33</v>
      </c>
      <c r="H25" s="231">
        <f>14-'PO - CONTRATO'!H60</f>
        <v>-3</v>
      </c>
      <c r="I25" s="230">
        <f t="shared" ref="I25:I28" si="0">G25*H25</f>
        <v>-2769.9900000000002</v>
      </c>
    </row>
    <row r="26" spans="1:9" s="5" customFormat="1" ht="22.5">
      <c r="A26" s="227" t="s">
        <v>90</v>
      </c>
      <c r="B26" s="228" t="s">
        <v>12</v>
      </c>
      <c r="C26" s="228">
        <v>3625</v>
      </c>
      <c r="D26" s="236" t="s">
        <v>197</v>
      </c>
      <c r="E26" s="2" t="s">
        <v>11</v>
      </c>
      <c r="F26" s="230">
        <v>604.65</v>
      </c>
      <c r="G26" s="230">
        <v>667.98</v>
      </c>
      <c r="H26" s="231">
        <v>-10</v>
      </c>
      <c r="I26" s="230">
        <f t="shared" si="0"/>
        <v>-6679.8</v>
      </c>
    </row>
    <row r="27" spans="1:9" s="5" customFormat="1" ht="22.5">
      <c r="A27" s="227" t="s">
        <v>315</v>
      </c>
      <c r="B27" s="228" t="s">
        <v>12</v>
      </c>
      <c r="C27" s="228">
        <v>11836</v>
      </c>
      <c r="D27" s="229" t="s">
        <v>199</v>
      </c>
      <c r="E27" s="2" t="s">
        <v>11</v>
      </c>
      <c r="F27" s="230">
        <v>822.46</v>
      </c>
      <c r="G27" s="230">
        <v>908.61</v>
      </c>
      <c r="H27" s="231">
        <v>-1</v>
      </c>
      <c r="I27" s="230">
        <f t="shared" si="0"/>
        <v>-908.61</v>
      </c>
    </row>
    <row r="28" spans="1:9" s="5" customFormat="1" ht="22.5">
      <c r="A28" s="227" t="s">
        <v>317</v>
      </c>
      <c r="B28" s="228" t="s">
        <v>12</v>
      </c>
      <c r="C28" s="228">
        <v>8970</v>
      </c>
      <c r="D28" s="229" t="s">
        <v>201</v>
      </c>
      <c r="E28" s="228" t="s">
        <v>16</v>
      </c>
      <c r="F28" s="230">
        <v>54.46</v>
      </c>
      <c r="G28" s="230">
        <v>60.16</v>
      </c>
      <c r="H28" s="231">
        <f>(0.7*2.1*3)-'PO - CONTRATO'!H65</f>
        <v>-0.62999999999999989</v>
      </c>
      <c r="I28" s="230">
        <f t="shared" si="0"/>
        <v>-37.90079999999999</v>
      </c>
    </row>
    <row r="29" spans="1:9" s="5" customFormat="1" ht="12.75">
      <c r="A29" s="221" t="s">
        <v>60</v>
      </c>
      <c r="B29" s="222"/>
      <c r="C29" s="222"/>
      <c r="D29" s="221" t="s">
        <v>506</v>
      </c>
      <c r="E29" s="223"/>
      <c r="F29" s="224"/>
      <c r="G29" s="230"/>
      <c r="H29" s="225"/>
      <c r="I29" s="226">
        <f>SUM(I30)</f>
        <v>-477.42719999999997</v>
      </c>
    </row>
    <row r="30" spans="1:9" s="12" customFormat="1" ht="22.5">
      <c r="A30" s="227" t="s">
        <v>92</v>
      </c>
      <c r="B30" s="228" t="s">
        <v>12</v>
      </c>
      <c r="C30" s="228">
        <v>1766</v>
      </c>
      <c r="D30" s="229" t="s">
        <v>204</v>
      </c>
      <c r="E30" s="228" t="s">
        <v>16</v>
      </c>
      <c r="F30" s="230">
        <v>450.17</v>
      </c>
      <c r="G30" s="230">
        <v>497.32</v>
      </c>
      <c r="H30" s="231">
        <v>-0.96</v>
      </c>
      <c r="I30" s="230">
        <f>G30*H30</f>
        <v>-477.42719999999997</v>
      </c>
    </row>
    <row r="31" spans="1:9" s="5" customFormat="1" ht="12.75">
      <c r="A31" s="216">
        <v>8</v>
      </c>
      <c r="B31" s="215"/>
      <c r="C31" s="215"/>
      <c r="D31" s="216" t="s">
        <v>142</v>
      </c>
      <c r="E31" s="217"/>
      <c r="F31" s="218"/>
      <c r="G31" s="219"/>
      <c r="H31" s="218"/>
      <c r="I31" s="220">
        <f>SUM(I32,I36,I40,I42)</f>
        <v>-12870.634999999998</v>
      </c>
    </row>
    <row r="32" spans="1:9" s="5" customFormat="1" ht="12.75">
      <c r="A32" s="221" t="s">
        <v>102</v>
      </c>
      <c r="B32" s="222"/>
      <c r="C32" s="222"/>
      <c r="D32" s="221" t="s">
        <v>166</v>
      </c>
      <c r="E32" s="223"/>
      <c r="F32" s="224"/>
      <c r="G32" s="230"/>
      <c r="H32" s="225"/>
      <c r="I32" s="226">
        <f>SUM(I33:I35)</f>
        <v>-5393.875</v>
      </c>
    </row>
    <row r="33" spans="1:9" s="5" customFormat="1" ht="22.5">
      <c r="A33" s="227" t="s">
        <v>108</v>
      </c>
      <c r="B33" s="228" t="s">
        <v>0</v>
      </c>
      <c r="C33" s="228">
        <v>94228</v>
      </c>
      <c r="D33" s="229" t="s">
        <v>167</v>
      </c>
      <c r="E33" s="228" t="s">
        <v>13</v>
      </c>
      <c r="F33" s="230">
        <v>57.82</v>
      </c>
      <c r="G33" s="230">
        <v>63.87</v>
      </c>
      <c r="H33" s="231">
        <v>-20</v>
      </c>
      <c r="I33" s="230">
        <f>G33*H33</f>
        <v>-1277.3999999999999</v>
      </c>
    </row>
    <row r="34" spans="1:9" s="5" customFormat="1" ht="22.5">
      <c r="A34" s="227" t="s">
        <v>170</v>
      </c>
      <c r="B34" s="228" t="s">
        <v>0</v>
      </c>
      <c r="C34" s="228">
        <v>91790</v>
      </c>
      <c r="D34" s="229" t="s">
        <v>171</v>
      </c>
      <c r="E34" s="228" t="s">
        <v>13</v>
      </c>
      <c r="F34" s="230">
        <v>45.87</v>
      </c>
      <c r="G34" s="230">
        <v>50.67</v>
      </c>
      <c r="H34" s="231">
        <f>(25*3.5)-'PO - CONTRATO'!H92</f>
        <v>-62.5</v>
      </c>
      <c r="I34" s="230">
        <f>G34*H34</f>
        <v>-3166.875</v>
      </c>
    </row>
    <row r="35" spans="1:9" s="5" customFormat="1" ht="12.75">
      <c r="A35" s="227" t="s">
        <v>172</v>
      </c>
      <c r="B35" s="228" t="s">
        <v>0</v>
      </c>
      <c r="C35" s="228">
        <v>72285</v>
      </c>
      <c r="D35" s="229" t="s">
        <v>173</v>
      </c>
      <c r="E35" s="2" t="s">
        <v>11</v>
      </c>
      <c r="F35" s="230">
        <v>85.96</v>
      </c>
      <c r="G35" s="230">
        <v>94.96</v>
      </c>
      <c r="H35" s="231">
        <v>-10</v>
      </c>
      <c r="I35" s="230">
        <f>G35*H35</f>
        <v>-949.59999999999991</v>
      </c>
    </row>
    <row r="36" spans="1:9" s="5" customFormat="1" ht="12.75">
      <c r="A36" s="221" t="s">
        <v>103</v>
      </c>
      <c r="B36" s="222"/>
      <c r="C36" s="222"/>
      <c r="D36" s="221" t="s">
        <v>106</v>
      </c>
      <c r="E36" s="223"/>
      <c r="F36" s="224"/>
      <c r="G36" s="230"/>
      <c r="H36" s="225"/>
      <c r="I36" s="226">
        <f>SUM(I37:I39)</f>
        <v>-3612.8200000000006</v>
      </c>
    </row>
    <row r="37" spans="1:9" s="5" customFormat="1" ht="33.75">
      <c r="A37" s="227" t="s">
        <v>279</v>
      </c>
      <c r="B37" s="228" t="s">
        <v>0</v>
      </c>
      <c r="C37" s="228" t="s">
        <v>285</v>
      </c>
      <c r="D37" s="229" t="s">
        <v>284</v>
      </c>
      <c r="E37" s="2" t="s">
        <v>11</v>
      </c>
      <c r="F37" s="230">
        <v>981.86</v>
      </c>
      <c r="G37" s="230">
        <v>1084.7</v>
      </c>
      <c r="H37" s="231">
        <v>-3</v>
      </c>
      <c r="I37" s="230">
        <f t="shared" ref="I37:I39" si="1">G37*H37</f>
        <v>-3254.1000000000004</v>
      </c>
    </row>
    <row r="38" spans="1:9" s="5" customFormat="1" ht="12.75">
      <c r="A38" s="227" t="s">
        <v>301</v>
      </c>
      <c r="B38" s="228" t="s">
        <v>0</v>
      </c>
      <c r="C38" s="228">
        <v>93655</v>
      </c>
      <c r="D38" s="229" t="s">
        <v>287</v>
      </c>
      <c r="E38" s="2" t="s">
        <v>11</v>
      </c>
      <c r="F38" s="230">
        <v>10.33</v>
      </c>
      <c r="G38" s="230">
        <v>11.4</v>
      </c>
      <c r="H38" s="231">
        <f>8-'PO - CONTRATO'!H106</f>
        <v>-27</v>
      </c>
      <c r="I38" s="230">
        <f t="shared" si="1"/>
        <v>-307.8</v>
      </c>
    </row>
    <row r="39" spans="1:9" s="5" customFormat="1" ht="12.75">
      <c r="A39" s="227" t="s">
        <v>302</v>
      </c>
      <c r="B39" s="228" t="s">
        <v>0</v>
      </c>
      <c r="C39" s="228">
        <v>93657</v>
      </c>
      <c r="D39" s="229" t="s">
        <v>288</v>
      </c>
      <c r="E39" s="2" t="s">
        <v>11</v>
      </c>
      <c r="F39" s="230">
        <v>11.53</v>
      </c>
      <c r="G39" s="230">
        <v>12.73</v>
      </c>
      <c r="H39" s="231">
        <v>-4</v>
      </c>
      <c r="I39" s="230">
        <f t="shared" si="1"/>
        <v>-50.92</v>
      </c>
    </row>
    <row r="40" spans="1:9" s="5" customFormat="1" ht="12.75">
      <c r="A40" s="221" t="s">
        <v>104</v>
      </c>
      <c r="B40" s="222"/>
      <c r="C40" s="222"/>
      <c r="D40" s="221" t="s">
        <v>211</v>
      </c>
      <c r="E40" s="223"/>
      <c r="F40" s="224"/>
      <c r="G40" s="230"/>
      <c r="H40" s="225"/>
      <c r="I40" s="226">
        <f>SUM(I41)</f>
        <v>-982.4</v>
      </c>
    </row>
    <row r="41" spans="1:9" s="5" customFormat="1" ht="12.75">
      <c r="A41" s="227" t="s">
        <v>261</v>
      </c>
      <c r="B41" s="228" t="s">
        <v>9</v>
      </c>
      <c r="C41" s="228">
        <v>39601</v>
      </c>
      <c r="D41" s="229" t="s">
        <v>175</v>
      </c>
      <c r="E41" s="2" t="s">
        <v>11</v>
      </c>
      <c r="F41" s="230">
        <v>22.23</v>
      </c>
      <c r="G41" s="230">
        <v>24.56</v>
      </c>
      <c r="H41" s="231">
        <v>-40</v>
      </c>
      <c r="I41" s="230">
        <f>G41*H41</f>
        <v>-982.4</v>
      </c>
    </row>
    <row r="42" spans="1:9" s="5" customFormat="1" ht="12.75">
      <c r="A42" s="221" t="s">
        <v>105</v>
      </c>
      <c r="B42" s="222"/>
      <c r="C42" s="222"/>
      <c r="D42" s="221" t="s">
        <v>66</v>
      </c>
      <c r="E42" s="223"/>
      <c r="F42" s="224"/>
      <c r="G42" s="230"/>
      <c r="H42" s="225"/>
      <c r="I42" s="226">
        <f>I43</f>
        <v>-2881.54</v>
      </c>
    </row>
    <row r="43" spans="1:9" s="5" customFormat="1" ht="12.75">
      <c r="A43" s="227" t="s">
        <v>210</v>
      </c>
      <c r="B43" s="247" t="s">
        <v>269</v>
      </c>
      <c r="C43" s="228"/>
      <c r="D43" s="229" t="str">
        <f>UPPER("Infraestrutura Ar Split - Dutos / Elétrica")</f>
        <v>INFRAESTRUTURA AR SPLIT - DUTOS / ELÉTRICA</v>
      </c>
      <c r="E43" s="2" t="s">
        <v>11</v>
      </c>
      <c r="F43" s="230">
        <v>137.28</v>
      </c>
      <c r="G43" s="230">
        <v>151.66</v>
      </c>
      <c r="H43" s="231">
        <v>-19</v>
      </c>
      <c r="I43" s="230">
        <f>G43*H43</f>
        <v>-2881.54</v>
      </c>
    </row>
    <row r="44" spans="1:9" s="5" customFormat="1" ht="12.75">
      <c r="A44" s="215">
        <v>9</v>
      </c>
      <c r="B44" s="215"/>
      <c r="C44" s="215"/>
      <c r="D44" s="216" t="s">
        <v>107</v>
      </c>
      <c r="E44" s="217"/>
      <c r="F44" s="218"/>
      <c r="G44" s="219"/>
      <c r="H44" s="218"/>
      <c r="I44" s="220">
        <f>SUM(I45,I53)</f>
        <v>-22087.85</v>
      </c>
    </row>
    <row r="45" spans="1:9" s="5" customFormat="1" ht="12.75">
      <c r="A45" s="221" t="s">
        <v>101</v>
      </c>
      <c r="B45" s="222"/>
      <c r="C45" s="222"/>
      <c r="D45" s="221" t="s">
        <v>97</v>
      </c>
      <c r="E45" s="223"/>
      <c r="F45" s="224"/>
      <c r="G45" s="224"/>
      <c r="H45" s="225"/>
      <c r="I45" s="226">
        <f>SUM(I46:I52)</f>
        <v>-9108.3499999999985</v>
      </c>
    </row>
    <row r="46" spans="1:9" s="5" customFormat="1" ht="22.5">
      <c r="A46" s="227" t="s">
        <v>128</v>
      </c>
      <c r="B46" s="228" t="s">
        <v>0</v>
      </c>
      <c r="C46" s="228">
        <v>86932</v>
      </c>
      <c r="D46" s="229" t="s">
        <v>247</v>
      </c>
      <c r="E46" s="2" t="s">
        <v>11</v>
      </c>
      <c r="F46" s="230">
        <v>420.59</v>
      </c>
      <c r="G46" s="230">
        <v>464.64</v>
      </c>
      <c r="H46" s="231">
        <f>9-'PO - CONTRATO'!H122</f>
        <v>-5</v>
      </c>
      <c r="I46" s="230">
        <f t="shared" ref="I46:I52" si="2">G46*H46</f>
        <v>-2323.1999999999998</v>
      </c>
    </row>
    <row r="47" spans="1:9" s="5" customFormat="1" ht="33.75">
      <c r="A47" s="227" t="s">
        <v>131</v>
      </c>
      <c r="B47" s="228" t="s">
        <v>12</v>
      </c>
      <c r="C47" s="228">
        <v>12292</v>
      </c>
      <c r="D47" s="229" t="s">
        <v>594</v>
      </c>
      <c r="E47" s="2" t="s">
        <v>11</v>
      </c>
      <c r="F47" s="230">
        <v>1260.9000000000001</v>
      </c>
      <c r="G47" s="230">
        <v>1392.98</v>
      </c>
      <c r="H47" s="231">
        <f>2-'PO - CONTRATO'!H125</f>
        <v>-2</v>
      </c>
      <c r="I47" s="230">
        <f t="shared" si="2"/>
        <v>-2785.96</v>
      </c>
    </row>
    <row r="48" spans="1:9" s="5" customFormat="1" ht="33.75">
      <c r="A48" s="227" t="s">
        <v>132</v>
      </c>
      <c r="B48" s="228" t="s">
        <v>12</v>
      </c>
      <c r="C48" s="228">
        <v>12261</v>
      </c>
      <c r="D48" s="229" t="s">
        <v>207</v>
      </c>
      <c r="E48" s="2" t="s">
        <v>11</v>
      </c>
      <c r="F48" s="230">
        <v>712.44</v>
      </c>
      <c r="G48" s="230">
        <v>787.06</v>
      </c>
      <c r="H48" s="231">
        <v>-2</v>
      </c>
      <c r="I48" s="230">
        <f t="shared" si="2"/>
        <v>-1574.12</v>
      </c>
    </row>
    <row r="49" spans="1:9" s="5" customFormat="1" ht="22.5">
      <c r="A49" s="227" t="s">
        <v>133</v>
      </c>
      <c r="B49" s="228" t="s">
        <v>12</v>
      </c>
      <c r="C49" s="228">
        <v>2074</v>
      </c>
      <c r="D49" s="229" t="s">
        <v>582</v>
      </c>
      <c r="E49" s="2" t="s">
        <v>11</v>
      </c>
      <c r="F49" s="230">
        <v>669.39</v>
      </c>
      <c r="G49" s="230">
        <v>739.5</v>
      </c>
      <c r="H49" s="231">
        <f>7-'PO - CONTRATO'!H127</f>
        <v>-1</v>
      </c>
      <c r="I49" s="230">
        <f t="shared" si="2"/>
        <v>-739.5</v>
      </c>
    </row>
    <row r="50" spans="1:9" s="5" customFormat="1" ht="12.75">
      <c r="A50" s="227" t="s">
        <v>215</v>
      </c>
      <c r="B50" s="228" t="s">
        <v>9</v>
      </c>
      <c r="C50" s="228">
        <v>11777</v>
      </c>
      <c r="D50" s="229" t="s">
        <v>181</v>
      </c>
      <c r="E50" s="2" t="s">
        <v>11</v>
      </c>
      <c r="F50" s="230">
        <v>96.92</v>
      </c>
      <c r="G50" s="230">
        <v>107.07</v>
      </c>
      <c r="H50" s="231">
        <v>-1</v>
      </c>
      <c r="I50" s="230">
        <f t="shared" si="2"/>
        <v>-107.07</v>
      </c>
    </row>
    <row r="51" spans="1:9" s="5" customFormat="1" ht="12.75">
      <c r="A51" s="227" t="s">
        <v>216</v>
      </c>
      <c r="B51" s="228" t="s">
        <v>0</v>
      </c>
      <c r="C51" s="228">
        <v>86906</v>
      </c>
      <c r="D51" s="236" t="s">
        <v>271</v>
      </c>
      <c r="E51" s="2" t="s">
        <v>11</v>
      </c>
      <c r="F51" s="230">
        <v>66.42</v>
      </c>
      <c r="G51" s="230">
        <v>73.37</v>
      </c>
      <c r="H51" s="231">
        <v>-2</v>
      </c>
      <c r="I51" s="230">
        <f t="shared" si="2"/>
        <v>-146.74</v>
      </c>
    </row>
    <row r="52" spans="1:9" s="5" customFormat="1" ht="12.75">
      <c r="A52" s="227" t="s">
        <v>218</v>
      </c>
      <c r="B52" s="228" t="s">
        <v>12</v>
      </c>
      <c r="C52" s="228">
        <v>802</v>
      </c>
      <c r="D52" s="229" t="s">
        <v>183</v>
      </c>
      <c r="E52" s="2" t="s">
        <v>11</v>
      </c>
      <c r="F52" s="230">
        <v>648.01</v>
      </c>
      <c r="G52" s="230">
        <v>715.88</v>
      </c>
      <c r="H52" s="231">
        <v>-2</v>
      </c>
      <c r="I52" s="230">
        <f t="shared" si="2"/>
        <v>-1431.76</v>
      </c>
    </row>
    <row r="53" spans="1:9" s="5" customFormat="1" ht="12.75">
      <c r="A53" s="221" t="s">
        <v>110</v>
      </c>
      <c r="B53" s="222"/>
      <c r="C53" s="222"/>
      <c r="D53" s="221" t="s">
        <v>109</v>
      </c>
      <c r="E53" s="223"/>
      <c r="F53" s="224"/>
      <c r="G53" s="230"/>
      <c r="H53" s="225"/>
      <c r="I53" s="226">
        <f>SUM(I54:I55)</f>
        <v>-12979.5</v>
      </c>
    </row>
    <row r="54" spans="1:9" s="5" customFormat="1" ht="22.5">
      <c r="A54" s="227" t="s">
        <v>255</v>
      </c>
      <c r="B54" s="13" t="s">
        <v>0</v>
      </c>
      <c r="C54" s="13" t="s">
        <v>266</v>
      </c>
      <c r="D54" s="14" t="s">
        <v>516</v>
      </c>
      <c r="E54" s="15" t="s">
        <v>11</v>
      </c>
      <c r="F54" s="16">
        <v>183.16</v>
      </c>
      <c r="G54" s="230">
        <v>202.34</v>
      </c>
      <c r="H54" s="16">
        <v>-64</v>
      </c>
      <c r="I54" s="230">
        <f t="shared" ref="I54:I55" si="3">G54*H54</f>
        <v>-12949.76</v>
      </c>
    </row>
    <row r="55" spans="1:9" s="5" customFormat="1" ht="12.75">
      <c r="A55" s="227" t="s">
        <v>256</v>
      </c>
      <c r="B55" s="13" t="s">
        <v>0</v>
      </c>
      <c r="C55" s="17">
        <v>91955</v>
      </c>
      <c r="D55" s="14" t="s">
        <v>268</v>
      </c>
      <c r="E55" s="15" t="s">
        <v>11</v>
      </c>
      <c r="F55" s="16">
        <v>26.93</v>
      </c>
      <c r="G55" s="230">
        <v>29.74</v>
      </c>
      <c r="H55" s="16">
        <v>-1</v>
      </c>
      <c r="I55" s="230">
        <f t="shared" si="3"/>
        <v>-29.74</v>
      </c>
    </row>
    <row r="56" spans="1:9" s="5" customFormat="1" ht="12.75">
      <c r="A56" s="215">
        <v>10</v>
      </c>
      <c r="B56" s="215"/>
      <c r="C56" s="215"/>
      <c r="D56" s="216" t="s">
        <v>67</v>
      </c>
      <c r="E56" s="217"/>
      <c r="F56" s="218"/>
      <c r="G56" s="219"/>
      <c r="H56" s="218"/>
      <c r="I56" s="220">
        <f>SUM(I57,I59,I64,I67)</f>
        <v>-63338.038</v>
      </c>
    </row>
    <row r="57" spans="1:9" s="5" customFormat="1" ht="12.75">
      <c r="A57" s="221" t="s">
        <v>100</v>
      </c>
      <c r="B57" s="222"/>
      <c r="C57" s="222"/>
      <c r="D57" s="221" t="s">
        <v>115</v>
      </c>
      <c r="E57" s="223"/>
      <c r="F57" s="224"/>
      <c r="G57" s="224"/>
      <c r="H57" s="225"/>
      <c r="I57" s="226">
        <f>I58</f>
        <v>-1503</v>
      </c>
    </row>
    <row r="58" spans="1:9" s="5" customFormat="1" ht="22.5">
      <c r="A58" s="227" t="s">
        <v>223</v>
      </c>
      <c r="B58" s="228" t="s">
        <v>0</v>
      </c>
      <c r="C58" s="228">
        <v>83336</v>
      </c>
      <c r="D58" s="229" t="s">
        <v>185</v>
      </c>
      <c r="E58" s="228" t="s">
        <v>186</v>
      </c>
      <c r="F58" s="230">
        <v>4.54</v>
      </c>
      <c r="G58" s="230">
        <v>5.01</v>
      </c>
      <c r="H58" s="231">
        <v>-300</v>
      </c>
      <c r="I58" s="230">
        <f>G58*H58</f>
        <v>-1503</v>
      </c>
    </row>
    <row r="59" spans="1:9" s="5" customFormat="1" ht="12.75">
      <c r="A59" s="221" t="s">
        <v>113</v>
      </c>
      <c r="B59" s="222"/>
      <c r="C59" s="222"/>
      <c r="D59" s="221" t="s">
        <v>220</v>
      </c>
      <c r="E59" s="222"/>
      <c r="F59" s="248"/>
      <c r="G59" s="230"/>
      <c r="H59" s="249"/>
      <c r="I59" s="250">
        <f>SUM(I60:I63)</f>
        <v>-21270.292399999998</v>
      </c>
    </row>
    <row r="60" spans="1:9" s="5" customFormat="1" ht="22.5">
      <c r="A60" s="227" t="s">
        <v>224</v>
      </c>
      <c r="B60" s="228" t="s">
        <v>0</v>
      </c>
      <c r="C60" s="228">
        <v>83694</v>
      </c>
      <c r="D60" s="229" t="s">
        <v>187</v>
      </c>
      <c r="E60" s="228" t="s">
        <v>16</v>
      </c>
      <c r="F60" s="230">
        <v>15.17</v>
      </c>
      <c r="G60" s="230">
        <v>16.75</v>
      </c>
      <c r="H60" s="231">
        <v>-604</v>
      </c>
      <c r="I60" s="230">
        <f>G60*H60</f>
        <v>-10117</v>
      </c>
    </row>
    <row r="61" spans="1:9" s="5" customFormat="1" ht="22.5">
      <c r="A61" s="227" t="s">
        <v>225</v>
      </c>
      <c r="B61" s="228" t="s">
        <v>0</v>
      </c>
      <c r="C61" s="228">
        <v>95969</v>
      </c>
      <c r="D61" s="229" t="s">
        <v>250</v>
      </c>
      <c r="E61" s="228" t="s">
        <v>186</v>
      </c>
      <c r="F61" s="230">
        <v>2002.18</v>
      </c>
      <c r="G61" s="230">
        <v>2211.9</v>
      </c>
      <c r="H61" s="231">
        <v>-0.88</v>
      </c>
      <c r="I61" s="230">
        <f>G61*H61</f>
        <v>-1946.472</v>
      </c>
    </row>
    <row r="62" spans="1:9" s="5" customFormat="1" ht="22.5">
      <c r="A62" s="227" t="s">
        <v>226</v>
      </c>
      <c r="B62" s="228" t="s">
        <v>0</v>
      </c>
      <c r="C62" s="228">
        <v>94992</v>
      </c>
      <c r="D62" s="229" t="s">
        <v>191</v>
      </c>
      <c r="E62" s="228" t="s">
        <v>16</v>
      </c>
      <c r="F62" s="230">
        <v>62.59</v>
      </c>
      <c r="G62" s="230">
        <v>69.14</v>
      </c>
      <c r="H62" s="231">
        <v>-18.46</v>
      </c>
      <c r="I62" s="230">
        <f>G62*H62</f>
        <v>-1276.3244</v>
      </c>
    </row>
    <row r="63" spans="1:9" s="5" customFormat="1" ht="12.75">
      <c r="A63" s="227" t="s">
        <v>227</v>
      </c>
      <c r="B63" s="228" t="s">
        <v>0</v>
      </c>
      <c r="C63" s="228" t="s">
        <v>192</v>
      </c>
      <c r="D63" s="229" t="s">
        <v>193</v>
      </c>
      <c r="E63" s="228" t="s">
        <v>13</v>
      </c>
      <c r="F63" s="230">
        <v>338.62</v>
      </c>
      <c r="G63" s="230">
        <v>374.08</v>
      </c>
      <c r="H63" s="231">
        <v>-21.2</v>
      </c>
      <c r="I63" s="230">
        <f>G63*H63</f>
        <v>-7930.4959999999992</v>
      </c>
    </row>
    <row r="64" spans="1:9" s="5" customFormat="1" ht="12.75">
      <c r="A64" s="221" t="s">
        <v>114</v>
      </c>
      <c r="B64" s="222"/>
      <c r="C64" s="222"/>
      <c r="D64" s="221" t="s">
        <v>116</v>
      </c>
      <c r="E64" s="223"/>
      <c r="F64" s="224"/>
      <c r="G64" s="230"/>
      <c r="H64" s="225"/>
      <c r="I64" s="226">
        <f>SUM(I65:I66)</f>
        <v>-22386.809999999998</v>
      </c>
    </row>
    <row r="65" spans="1:9" s="5" customFormat="1" ht="12.75">
      <c r="A65" s="227" t="s">
        <v>221</v>
      </c>
      <c r="B65" s="228" t="s">
        <v>0</v>
      </c>
      <c r="C65" s="228">
        <v>98655</v>
      </c>
      <c r="D65" s="229" t="s">
        <v>194</v>
      </c>
      <c r="E65" s="228" t="s">
        <v>13</v>
      </c>
      <c r="F65" s="230">
        <v>421.05</v>
      </c>
      <c r="G65" s="230">
        <v>465.15</v>
      </c>
      <c r="H65" s="231">
        <v>-30</v>
      </c>
      <c r="I65" s="230">
        <f>G65*H65</f>
        <v>-13954.5</v>
      </c>
    </row>
    <row r="66" spans="1:9" s="5" customFormat="1" ht="12.75">
      <c r="A66" s="227" t="s">
        <v>222</v>
      </c>
      <c r="B66" s="228" t="s">
        <v>0</v>
      </c>
      <c r="C66" s="228">
        <v>68054</v>
      </c>
      <c r="D66" s="229" t="s">
        <v>326</v>
      </c>
      <c r="E66" s="228" t="s">
        <v>16</v>
      </c>
      <c r="F66" s="230">
        <v>246.22</v>
      </c>
      <c r="G66" s="230">
        <v>272.01</v>
      </c>
      <c r="H66" s="233">
        <v>-31</v>
      </c>
      <c r="I66" s="230">
        <f>G66*H66</f>
        <v>-8432.31</v>
      </c>
    </row>
    <row r="67" spans="1:9" s="5" customFormat="1" ht="12.75">
      <c r="A67" s="221" t="s">
        <v>117</v>
      </c>
      <c r="B67" s="222"/>
      <c r="C67" s="222"/>
      <c r="D67" s="221" t="s">
        <v>219</v>
      </c>
      <c r="E67" s="223"/>
      <c r="F67" s="224"/>
      <c r="G67" s="230"/>
      <c r="H67" s="225"/>
      <c r="I67" s="226">
        <f>SUM(I68:I70)</f>
        <v>-18177.935600000001</v>
      </c>
    </row>
    <row r="68" spans="1:9" s="5" customFormat="1" ht="22.5">
      <c r="A68" s="227" t="s">
        <v>118</v>
      </c>
      <c r="B68" s="228" t="s">
        <v>0</v>
      </c>
      <c r="C68" s="228">
        <v>92396</v>
      </c>
      <c r="D68" s="229" t="s">
        <v>188</v>
      </c>
      <c r="E68" s="228" t="s">
        <v>16</v>
      </c>
      <c r="F68" s="230">
        <v>50.3</v>
      </c>
      <c r="G68" s="230">
        <v>55.56</v>
      </c>
      <c r="H68" s="231">
        <v>-221.76</v>
      </c>
      <c r="I68" s="230">
        <f>G68*H68</f>
        <v>-12320.9856</v>
      </c>
    </row>
    <row r="69" spans="1:9" s="5" customFormat="1" ht="33.75">
      <c r="A69" s="227" t="s">
        <v>119</v>
      </c>
      <c r="B69" s="228" t="s">
        <v>0</v>
      </c>
      <c r="C69" s="228">
        <v>94273</v>
      </c>
      <c r="D69" s="229" t="s">
        <v>189</v>
      </c>
      <c r="E69" s="228" t="s">
        <v>13</v>
      </c>
      <c r="F69" s="230">
        <v>37.43</v>
      </c>
      <c r="G69" s="230">
        <v>41.34</v>
      </c>
      <c r="H69" s="231">
        <v>-62.5</v>
      </c>
      <c r="I69" s="230">
        <f>G69*H69</f>
        <v>-2583.75</v>
      </c>
    </row>
    <row r="70" spans="1:9" ht="30" customHeight="1">
      <c r="A70" s="227" t="s">
        <v>228</v>
      </c>
      <c r="B70" s="228" t="s">
        <v>9</v>
      </c>
      <c r="C70" s="228">
        <v>36178</v>
      </c>
      <c r="D70" s="229" t="s">
        <v>190</v>
      </c>
      <c r="E70" s="2" t="s">
        <v>11</v>
      </c>
      <c r="F70" s="230">
        <v>6.05</v>
      </c>
      <c r="G70" s="230">
        <v>6.68</v>
      </c>
      <c r="H70" s="231">
        <v>-490</v>
      </c>
      <c r="I70" s="230">
        <f>G70*H70</f>
        <v>-3273.2</v>
      </c>
    </row>
    <row r="71" spans="1:9" ht="30" customHeight="1">
      <c r="A71" s="75"/>
      <c r="B71" s="76"/>
      <c r="C71" s="76"/>
      <c r="D71" s="76"/>
      <c r="E71" s="76"/>
      <c r="F71" s="76"/>
      <c r="G71" s="91" t="s">
        <v>344</v>
      </c>
      <c r="H71" s="378">
        <f>SUM(I7,I13,I19,I23,I31,I44,I56)</f>
        <v>-129463.26620000001</v>
      </c>
      <c r="I71" s="379"/>
    </row>
    <row r="72" spans="1:9" ht="15.75" customHeight="1">
      <c r="A72" s="24"/>
      <c r="B72" s="24"/>
      <c r="C72" s="24"/>
      <c r="D72" s="24"/>
      <c r="E72" s="24"/>
      <c r="F72" s="24"/>
      <c r="G72" s="24"/>
      <c r="H72" s="24"/>
      <c r="I72" s="24"/>
    </row>
  </sheetData>
  <mergeCells count="9">
    <mergeCell ref="G5:I5"/>
    <mergeCell ref="H71:I71"/>
    <mergeCell ref="A4:I4"/>
    <mergeCell ref="A5:A6"/>
    <mergeCell ref="B5:B6"/>
    <mergeCell ref="C5:C6"/>
    <mergeCell ref="D5:D6"/>
    <mergeCell ref="E5:E6"/>
    <mergeCell ref="F5:F6"/>
  </mergeCells>
  <printOptions horizontalCentered="1"/>
  <pageMargins left="0.51181102362204722" right="0.51181102362204722" top="1.1811023622047245" bottom="0.39370078740157483" header="0.19685039370078741" footer="0"/>
  <pageSetup paperSize="9" scale="87" fitToHeight="0" orientation="portrait" r:id="rId1"/>
  <headerFooter>
    <oddHeader>&amp;C&amp;G</oddHeader>
  </headerFooter>
  <colBreaks count="1" manualBreakCount="1">
    <brk id="9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2:N139"/>
  <sheetViews>
    <sheetView workbookViewId="0">
      <selection activeCell="E145" sqref="E145"/>
    </sheetView>
  </sheetViews>
  <sheetFormatPr defaultRowHeight="15"/>
  <cols>
    <col min="2" max="2" width="6.28515625" customWidth="1"/>
    <col min="3" max="3" width="33.28515625" customWidth="1"/>
    <col min="4" max="4" width="7.7109375" style="304" customWidth="1"/>
    <col min="5" max="5" width="12.7109375" style="287" customWidth="1"/>
    <col min="6" max="6" width="7.7109375" style="327" customWidth="1"/>
    <col min="7" max="7" width="12.7109375" style="287" customWidth="1"/>
    <col min="8" max="8" width="7.7109375" style="327" customWidth="1"/>
    <col min="9" max="9" width="12.7109375" style="287" customWidth="1"/>
    <col min="10" max="10" width="7.7109375" style="287" customWidth="1"/>
    <col min="11" max="11" width="12.7109375" style="287" customWidth="1"/>
    <col min="12" max="12" width="14.42578125" style="287" bestFit="1" customWidth="1"/>
    <col min="13" max="14" width="12.7109375" bestFit="1" customWidth="1"/>
  </cols>
  <sheetData>
    <row r="2" spans="2:13">
      <c r="B2" s="357" t="s">
        <v>329</v>
      </c>
      <c r="C2" s="358"/>
      <c r="D2" s="358"/>
      <c r="E2" s="359"/>
      <c r="F2" s="253" t="s">
        <v>330</v>
      </c>
      <c r="G2" s="253"/>
      <c r="H2" s="253"/>
      <c r="I2" s="253"/>
      <c r="J2" s="253"/>
      <c r="K2" s="253"/>
      <c r="L2" s="256"/>
    </row>
    <row r="3" spans="2:13">
      <c r="B3" s="354" t="s">
        <v>340</v>
      </c>
      <c r="C3" s="355"/>
      <c r="D3" s="355"/>
      <c r="E3" s="356"/>
      <c r="F3" s="330" t="s">
        <v>331</v>
      </c>
      <c r="G3" s="330"/>
      <c r="H3" s="330"/>
      <c r="I3" s="330"/>
      <c r="J3" s="330"/>
      <c r="K3" s="330"/>
      <c r="L3" s="331"/>
    </row>
    <row r="4" spans="2:13" ht="5.25" customHeight="1">
      <c r="B4" s="328"/>
      <c r="C4" s="329"/>
      <c r="D4" s="329"/>
      <c r="E4" s="115"/>
      <c r="F4" s="115"/>
      <c r="G4" s="115"/>
      <c r="H4" s="115"/>
      <c r="I4" s="115"/>
      <c r="J4" s="115"/>
      <c r="K4" s="115"/>
      <c r="L4" s="116"/>
    </row>
    <row r="5" spans="2:13" ht="15.75" thickBot="1">
      <c r="B5" s="414" t="s">
        <v>643</v>
      </c>
      <c r="C5" s="415"/>
      <c r="D5" s="415"/>
      <c r="E5" s="415"/>
      <c r="F5" s="415"/>
      <c r="G5" s="415"/>
      <c r="H5" s="415"/>
      <c r="I5" s="415"/>
      <c r="J5" s="415"/>
      <c r="K5" s="415"/>
      <c r="L5" s="416"/>
    </row>
    <row r="6" spans="2:13" ht="15.75" thickBot="1">
      <c r="B6" s="419" t="s">
        <v>600</v>
      </c>
      <c r="C6" s="420"/>
      <c r="D6" s="420"/>
      <c r="E6" s="420"/>
      <c r="F6" s="420"/>
      <c r="G6" s="420"/>
      <c r="H6" s="420"/>
      <c r="I6" s="420"/>
      <c r="J6" s="420"/>
      <c r="K6" s="420"/>
      <c r="L6" s="421"/>
    </row>
    <row r="7" spans="2:13">
      <c r="B7" s="417" t="s">
        <v>3</v>
      </c>
      <c r="C7" s="423" t="s">
        <v>6</v>
      </c>
      <c r="D7" s="425" t="s">
        <v>601</v>
      </c>
      <c r="E7" s="418"/>
      <c r="F7" s="417" t="s">
        <v>602</v>
      </c>
      <c r="G7" s="418"/>
      <c r="H7" s="417" t="s">
        <v>603</v>
      </c>
      <c r="I7" s="418"/>
      <c r="J7" s="417" t="s">
        <v>644</v>
      </c>
      <c r="K7" s="418"/>
      <c r="L7" s="426" t="s">
        <v>604</v>
      </c>
    </row>
    <row r="8" spans="2:13" ht="15.75" thickBot="1">
      <c r="B8" s="422"/>
      <c r="C8" s="424"/>
      <c r="D8" s="280" t="s">
        <v>605</v>
      </c>
      <c r="E8" s="281" t="s">
        <v>606</v>
      </c>
      <c r="F8" s="282" t="s">
        <v>605</v>
      </c>
      <c r="G8" s="281" t="s">
        <v>606</v>
      </c>
      <c r="H8" s="282" t="s">
        <v>605</v>
      </c>
      <c r="I8" s="281" t="s">
        <v>606</v>
      </c>
      <c r="J8" s="282" t="s">
        <v>605</v>
      </c>
      <c r="K8" s="281" t="s">
        <v>606</v>
      </c>
      <c r="L8" s="427"/>
    </row>
    <row r="9" spans="2:13">
      <c r="B9" s="283">
        <v>1</v>
      </c>
      <c r="C9" s="284" t="s">
        <v>15</v>
      </c>
      <c r="D9" s="341">
        <v>0.15</v>
      </c>
      <c r="E9" s="285">
        <f>('TA01 - PO compilada'!$I$7)*D9</f>
        <v>7198.29</v>
      </c>
      <c r="F9" s="341">
        <v>0.15</v>
      </c>
      <c r="G9" s="285">
        <f>('TA01 - PO compilada'!$I$7)*F9</f>
        <v>7198.29</v>
      </c>
      <c r="H9" s="341">
        <v>0.35</v>
      </c>
      <c r="I9" s="285">
        <f>('TA01 - PO compilada'!$I$7)*H9</f>
        <v>16796.009999999998</v>
      </c>
      <c r="J9" s="341">
        <v>0.35</v>
      </c>
      <c r="K9" s="285">
        <f>('TA01 - PO compilada'!$I$7)*J9</f>
        <v>16796.009999999998</v>
      </c>
      <c r="L9" s="286">
        <f>E9+G9+I9+K9</f>
        <v>47988.599999999991</v>
      </c>
      <c r="M9" s="287"/>
    </row>
    <row r="10" spans="2:13" hidden="1">
      <c r="B10" s="288" t="s">
        <v>23</v>
      </c>
      <c r="C10" s="289" t="s">
        <v>235</v>
      </c>
      <c r="D10" s="290"/>
      <c r="E10" s="291"/>
      <c r="F10" s="292"/>
      <c r="G10" s="291"/>
      <c r="H10" s="342"/>
      <c r="I10" s="291"/>
      <c r="J10" s="292"/>
      <c r="K10" s="291"/>
      <c r="L10" s="286">
        <f t="shared" ref="L10:L73" si="0">E10+G10+I10+K10</f>
        <v>0</v>
      </c>
    </row>
    <row r="11" spans="2:13" ht="23.25" hidden="1">
      <c r="B11" s="294" t="s">
        <v>233</v>
      </c>
      <c r="C11" s="295" t="s">
        <v>231</v>
      </c>
      <c r="D11" s="290"/>
      <c r="E11" s="291"/>
      <c r="F11" s="292"/>
      <c r="G11" s="291"/>
      <c r="H11" s="342"/>
      <c r="I11" s="291"/>
      <c r="J11" s="292"/>
      <c r="K11" s="291"/>
      <c r="L11" s="286">
        <f t="shared" si="0"/>
        <v>0</v>
      </c>
    </row>
    <row r="12" spans="2:13" ht="23.25" hidden="1">
      <c r="B12" s="296" t="s">
        <v>234</v>
      </c>
      <c r="C12" s="297" t="s">
        <v>232</v>
      </c>
      <c r="D12" s="290"/>
      <c r="E12" s="291"/>
      <c r="F12" s="292"/>
      <c r="G12" s="291"/>
      <c r="H12" s="342"/>
      <c r="I12" s="291"/>
      <c r="J12" s="292"/>
      <c r="K12" s="291"/>
      <c r="L12" s="286">
        <f t="shared" si="0"/>
        <v>0</v>
      </c>
    </row>
    <row r="13" spans="2:13">
      <c r="B13" s="298">
        <v>2</v>
      </c>
      <c r="C13" s="284" t="s">
        <v>14</v>
      </c>
      <c r="D13" s="340">
        <v>0.97</v>
      </c>
      <c r="E13" s="285">
        <f>('TA01 - PO compilada'!$I$11)*D13</f>
        <v>47175.610500000003</v>
      </c>
      <c r="F13" s="340">
        <v>0.03</v>
      </c>
      <c r="G13" s="285">
        <f>('TA01 - PO compilada'!$I$11)*F13</f>
        <v>1459.0395000000001</v>
      </c>
      <c r="H13" s="342"/>
      <c r="I13" s="291"/>
      <c r="J13" s="292"/>
      <c r="K13" s="291"/>
      <c r="L13" s="286">
        <f t="shared" si="0"/>
        <v>48634.65</v>
      </c>
    </row>
    <row r="14" spans="2:13" hidden="1">
      <c r="B14" s="298" t="s">
        <v>24</v>
      </c>
      <c r="C14" s="299" t="s">
        <v>38</v>
      </c>
      <c r="D14" s="290"/>
      <c r="E14" s="285"/>
      <c r="F14" s="292"/>
      <c r="G14" s="291"/>
      <c r="H14" s="342"/>
      <c r="I14" s="291"/>
      <c r="J14" s="292"/>
      <c r="K14" s="291"/>
      <c r="L14" s="286">
        <f t="shared" si="0"/>
        <v>0</v>
      </c>
    </row>
    <row r="15" spans="2:13" ht="34.5" hidden="1">
      <c r="B15" s="300" t="s">
        <v>39</v>
      </c>
      <c r="C15" s="301" t="s">
        <v>17</v>
      </c>
      <c r="D15" s="290"/>
      <c r="E15" s="285"/>
      <c r="F15" s="292"/>
      <c r="G15" s="291"/>
      <c r="H15" s="342"/>
      <c r="I15" s="291"/>
      <c r="J15" s="292"/>
      <c r="K15" s="291"/>
      <c r="L15" s="286">
        <f t="shared" si="0"/>
        <v>0</v>
      </c>
    </row>
    <row r="16" spans="2:13" ht="23.25" hidden="1">
      <c r="B16" s="300" t="s">
        <v>40</v>
      </c>
      <c r="C16" s="301" t="s">
        <v>18</v>
      </c>
      <c r="D16" s="290"/>
      <c r="E16" s="285"/>
      <c r="F16" s="292"/>
      <c r="G16" s="291"/>
      <c r="H16" s="342"/>
      <c r="I16" s="291"/>
      <c r="J16" s="292"/>
      <c r="K16" s="291"/>
      <c r="L16" s="286">
        <f t="shared" si="0"/>
        <v>0</v>
      </c>
    </row>
    <row r="17" spans="2:13" hidden="1">
      <c r="B17" s="298" t="s">
        <v>25</v>
      </c>
      <c r="C17" s="299" t="s">
        <v>238</v>
      </c>
      <c r="D17" s="290"/>
      <c r="E17" s="285"/>
      <c r="F17" s="292"/>
      <c r="G17" s="291"/>
      <c r="H17" s="342"/>
      <c r="I17" s="291"/>
      <c r="J17" s="292"/>
      <c r="K17" s="291"/>
      <c r="L17" s="286">
        <f t="shared" si="0"/>
        <v>0</v>
      </c>
    </row>
    <row r="18" spans="2:13" ht="23.25" hidden="1">
      <c r="B18" s="300" t="s">
        <v>236</v>
      </c>
      <c r="C18" s="284" t="s">
        <v>19</v>
      </c>
      <c r="D18" s="290"/>
      <c r="E18" s="285"/>
      <c r="F18" s="292"/>
      <c r="G18" s="291"/>
      <c r="H18" s="342"/>
      <c r="I18" s="291"/>
      <c r="J18" s="292"/>
      <c r="K18" s="291"/>
      <c r="L18" s="286">
        <f t="shared" si="0"/>
        <v>0</v>
      </c>
    </row>
    <row r="19" spans="2:13" ht="23.25" hidden="1">
      <c r="B19" s="300" t="s">
        <v>237</v>
      </c>
      <c r="C19" s="301" t="s">
        <v>20</v>
      </c>
      <c r="D19" s="290"/>
      <c r="E19" s="285"/>
      <c r="F19" s="292"/>
      <c r="G19" s="291"/>
      <c r="H19" s="342"/>
      <c r="I19" s="291"/>
      <c r="J19" s="292"/>
      <c r="K19" s="291"/>
      <c r="L19" s="286">
        <f t="shared" si="0"/>
        <v>0</v>
      </c>
    </row>
    <row r="20" spans="2:13">
      <c r="B20" s="298">
        <v>3</v>
      </c>
      <c r="C20" s="284" t="s">
        <v>21</v>
      </c>
      <c r="D20" s="340">
        <f>E20/('TA01 - PO compilada'!$I$18)</f>
        <v>0.2883433099496629</v>
      </c>
      <c r="E20" s="285">
        <f>'Medição 01'!N17</f>
        <v>1920.4744000000001</v>
      </c>
      <c r="F20" s="292"/>
      <c r="G20" s="291"/>
      <c r="H20" s="343">
        <f>I20/('TA01 - PO compilada'!$I$18)</f>
        <v>0.41311491438078912</v>
      </c>
      <c r="I20" s="291">
        <f>(0.5*'TA01 - PO compilada'!I21)+'TA01 - PO compilada'!I22</f>
        <v>2751.5</v>
      </c>
      <c r="J20" s="340">
        <f>K20/('TA01 - PO compilada'!$I$18)</f>
        <v>0.29854177566954793</v>
      </c>
      <c r="K20" s="291">
        <f>(0.5*'TA01 - PO compilada'!I21)+'TA01 - PO compilada'!I23</f>
        <v>1988.4</v>
      </c>
      <c r="L20" s="286">
        <f t="shared" si="0"/>
        <v>6660.3744000000006</v>
      </c>
    </row>
    <row r="21" spans="2:13" hidden="1">
      <c r="B21" s="288" t="s">
        <v>26</v>
      </c>
      <c r="C21" s="289" t="s">
        <v>240</v>
      </c>
      <c r="D21" s="290"/>
      <c r="E21" s="291"/>
      <c r="F21" s="292"/>
      <c r="G21" s="291"/>
      <c r="H21" s="342"/>
      <c r="I21" s="291"/>
      <c r="J21" s="292"/>
      <c r="K21" s="291"/>
      <c r="L21" s="286">
        <f t="shared" si="0"/>
        <v>0</v>
      </c>
    </row>
    <row r="22" spans="2:13" ht="23.25" hidden="1">
      <c r="B22" s="302" t="s">
        <v>239</v>
      </c>
      <c r="C22" s="303" t="s">
        <v>137</v>
      </c>
      <c r="D22" s="290"/>
      <c r="E22" s="291"/>
      <c r="F22" s="292"/>
      <c r="G22" s="291"/>
      <c r="H22" s="342"/>
      <c r="I22" s="291"/>
      <c r="J22" s="292"/>
      <c r="K22" s="291"/>
      <c r="L22" s="286">
        <f t="shared" si="0"/>
        <v>0</v>
      </c>
    </row>
    <row r="23" spans="2:13">
      <c r="B23" s="298">
        <v>4</v>
      </c>
      <c r="C23" s="301" t="s">
        <v>50</v>
      </c>
      <c r="D23" s="290"/>
      <c r="E23" s="291"/>
      <c r="F23" s="343">
        <f>G23/'TA01 - PO compilada'!I24</f>
        <v>0.27312708099662941</v>
      </c>
      <c r="G23" s="291">
        <f>'Medição 02'!N20</f>
        <v>28955.66</v>
      </c>
      <c r="H23" s="343">
        <f>1-F23</f>
        <v>0.72687291900337059</v>
      </c>
      <c r="I23" s="291">
        <f>H23*'TA01 - PO compilada'!I24</f>
        <v>77059.678700000004</v>
      </c>
      <c r="J23" s="292"/>
      <c r="K23" s="291"/>
      <c r="L23" s="286">
        <f t="shared" si="0"/>
        <v>106015.33870000001</v>
      </c>
      <c r="M23" s="304"/>
    </row>
    <row r="24" spans="2:13" ht="23.25" hidden="1">
      <c r="B24" s="302" t="s">
        <v>241</v>
      </c>
      <c r="C24" s="303" t="s">
        <v>607</v>
      </c>
      <c r="D24" s="290"/>
      <c r="E24" s="291"/>
      <c r="F24" s="292"/>
      <c r="G24" s="291"/>
      <c r="H24" s="342"/>
      <c r="I24" s="291"/>
      <c r="J24" s="292"/>
      <c r="K24" s="291"/>
      <c r="L24" s="286">
        <f t="shared" si="0"/>
        <v>0</v>
      </c>
    </row>
    <row r="25" spans="2:13" ht="23.25" hidden="1">
      <c r="B25" s="302" t="s">
        <v>608</v>
      </c>
      <c r="C25" s="297" t="s">
        <v>609</v>
      </c>
      <c r="D25" s="290"/>
      <c r="E25" s="291"/>
      <c r="F25" s="292"/>
      <c r="G25" s="291"/>
      <c r="H25" s="342"/>
      <c r="I25" s="291"/>
      <c r="J25" s="292"/>
      <c r="K25" s="291"/>
      <c r="L25" s="286">
        <f t="shared" si="0"/>
        <v>0</v>
      </c>
    </row>
    <row r="26" spans="2:13">
      <c r="B26" s="298">
        <v>5</v>
      </c>
      <c r="C26" s="284" t="s">
        <v>62</v>
      </c>
      <c r="D26" s="290"/>
      <c r="E26" s="291"/>
      <c r="F26" s="292"/>
      <c r="G26" s="285"/>
      <c r="H26" s="342">
        <v>0.5</v>
      </c>
      <c r="I26" s="285">
        <f>H26*'TA01 - PO compilada'!$I$68</f>
        <v>26120.260399999999</v>
      </c>
      <c r="J26" s="342">
        <v>0.5</v>
      </c>
      <c r="K26" s="285">
        <f>J26*'TA01 - PO compilada'!$I$68</f>
        <v>26120.260399999999</v>
      </c>
      <c r="L26" s="286">
        <f t="shared" si="0"/>
        <v>52240.520799999998</v>
      </c>
    </row>
    <row r="27" spans="2:13" hidden="1">
      <c r="B27" s="298" t="s">
        <v>32</v>
      </c>
      <c r="C27" s="299" t="s">
        <v>74</v>
      </c>
      <c r="D27" s="290"/>
      <c r="E27" s="291"/>
      <c r="F27" s="292"/>
      <c r="G27" s="291"/>
      <c r="H27" s="342"/>
      <c r="I27" s="291"/>
      <c r="J27" s="292"/>
      <c r="K27" s="291"/>
      <c r="L27" s="286">
        <f t="shared" si="0"/>
        <v>0</v>
      </c>
    </row>
    <row r="28" spans="2:13" ht="23.25" hidden="1">
      <c r="B28" s="300" t="s">
        <v>75</v>
      </c>
      <c r="C28" s="284" t="s">
        <v>139</v>
      </c>
      <c r="D28" s="290"/>
      <c r="E28" s="291"/>
      <c r="F28" s="292"/>
      <c r="G28" s="291"/>
      <c r="H28" s="342"/>
      <c r="I28" s="291"/>
      <c r="J28" s="292"/>
      <c r="K28" s="291"/>
      <c r="L28" s="286">
        <f t="shared" si="0"/>
        <v>0</v>
      </c>
    </row>
    <row r="29" spans="2:13" ht="23.25" hidden="1">
      <c r="B29" s="300" t="s">
        <v>76</v>
      </c>
      <c r="C29" s="301" t="s">
        <v>140</v>
      </c>
      <c r="D29" s="290"/>
      <c r="E29" s="291"/>
      <c r="F29" s="292"/>
      <c r="G29" s="291"/>
      <c r="H29" s="342"/>
      <c r="I29" s="291"/>
      <c r="J29" s="292"/>
      <c r="K29" s="291"/>
      <c r="L29" s="286">
        <f t="shared" si="0"/>
        <v>0</v>
      </c>
    </row>
    <row r="30" spans="2:13" ht="45.75" hidden="1">
      <c r="B30" s="300" t="s">
        <v>77</v>
      </c>
      <c r="C30" s="301" t="s">
        <v>197</v>
      </c>
      <c r="D30" s="290"/>
      <c r="E30" s="291"/>
      <c r="F30" s="292"/>
      <c r="G30" s="291"/>
      <c r="H30" s="342"/>
      <c r="I30" s="291"/>
      <c r="J30" s="292"/>
      <c r="K30" s="291"/>
      <c r="L30" s="286">
        <f t="shared" si="0"/>
        <v>0</v>
      </c>
    </row>
    <row r="31" spans="2:13" ht="34.5" hidden="1">
      <c r="B31" s="300" t="s">
        <v>327</v>
      </c>
      <c r="C31" s="301" t="s">
        <v>198</v>
      </c>
      <c r="D31" s="290"/>
      <c r="E31" s="291"/>
      <c r="F31" s="292"/>
      <c r="G31" s="291"/>
      <c r="H31" s="342"/>
      <c r="I31" s="291"/>
      <c r="J31" s="292"/>
      <c r="K31" s="291"/>
      <c r="L31" s="286">
        <f t="shared" si="0"/>
        <v>0</v>
      </c>
    </row>
    <row r="32" spans="2:13" ht="34.5" hidden="1">
      <c r="B32" s="300" t="s">
        <v>392</v>
      </c>
      <c r="C32" s="301" t="s">
        <v>199</v>
      </c>
      <c r="D32" s="290"/>
      <c r="E32" s="291"/>
      <c r="F32" s="292"/>
      <c r="G32" s="291"/>
      <c r="H32" s="342"/>
      <c r="I32" s="291"/>
      <c r="J32" s="292"/>
      <c r="K32" s="291"/>
      <c r="L32" s="286">
        <f t="shared" si="0"/>
        <v>0</v>
      </c>
    </row>
    <row r="33" spans="2:13" ht="23.25" hidden="1">
      <c r="B33" s="300" t="s">
        <v>395</v>
      </c>
      <c r="C33" s="301" t="s">
        <v>200</v>
      </c>
      <c r="D33" s="290"/>
      <c r="E33" s="291"/>
      <c r="F33" s="292"/>
      <c r="G33" s="291"/>
      <c r="H33" s="342"/>
      <c r="I33" s="291"/>
      <c r="J33" s="292"/>
      <c r="K33" s="291"/>
      <c r="L33" s="286">
        <f t="shared" si="0"/>
        <v>0</v>
      </c>
    </row>
    <row r="34" spans="2:13" ht="23.25" hidden="1">
      <c r="B34" s="300" t="s">
        <v>487</v>
      </c>
      <c r="C34" s="284" t="s">
        <v>201</v>
      </c>
      <c r="D34" s="290"/>
      <c r="E34" s="291"/>
      <c r="F34" s="292"/>
      <c r="G34" s="291"/>
      <c r="H34" s="342"/>
      <c r="I34" s="291"/>
      <c r="J34" s="292"/>
      <c r="K34" s="291"/>
      <c r="L34" s="286">
        <f t="shared" si="0"/>
        <v>0</v>
      </c>
    </row>
    <row r="35" spans="2:13" ht="23.25" hidden="1">
      <c r="B35" s="300" t="s">
        <v>610</v>
      </c>
      <c r="C35" s="301" t="s">
        <v>141</v>
      </c>
      <c r="D35" s="290"/>
      <c r="E35" s="291"/>
      <c r="F35" s="292"/>
      <c r="G35" s="291"/>
      <c r="H35" s="342"/>
      <c r="I35" s="291"/>
      <c r="J35" s="292"/>
      <c r="K35" s="291"/>
      <c r="L35" s="286">
        <f t="shared" si="0"/>
        <v>0</v>
      </c>
    </row>
    <row r="36" spans="2:13" ht="23.25" hidden="1">
      <c r="B36" s="300" t="s">
        <v>611</v>
      </c>
      <c r="C36" s="284" t="s">
        <v>65</v>
      </c>
      <c r="D36" s="290"/>
      <c r="E36" s="291"/>
      <c r="F36" s="292"/>
      <c r="G36" s="291"/>
      <c r="H36" s="342"/>
      <c r="I36" s="291"/>
      <c r="J36" s="292"/>
      <c r="K36" s="291"/>
      <c r="L36" s="286">
        <f t="shared" si="0"/>
        <v>0</v>
      </c>
    </row>
    <row r="37" spans="2:13" ht="34.5" hidden="1">
      <c r="B37" s="300" t="s">
        <v>612</v>
      </c>
      <c r="C37" s="299" t="s">
        <v>202</v>
      </c>
      <c r="D37" s="290"/>
      <c r="E37" s="291"/>
      <c r="F37" s="292"/>
      <c r="G37" s="291"/>
      <c r="H37" s="342"/>
      <c r="I37" s="291"/>
      <c r="J37" s="292"/>
      <c r="K37" s="291"/>
      <c r="L37" s="286">
        <f t="shared" si="0"/>
        <v>0</v>
      </c>
    </row>
    <row r="38" spans="2:13" hidden="1">
      <c r="B38" s="298" t="s">
        <v>196</v>
      </c>
      <c r="C38" s="299" t="s">
        <v>243</v>
      </c>
      <c r="D38" s="290"/>
      <c r="E38" s="291"/>
      <c r="F38" s="292"/>
      <c r="G38" s="291"/>
      <c r="H38" s="342"/>
      <c r="I38" s="291"/>
      <c r="J38" s="292"/>
      <c r="K38" s="291"/>
      <c r="L38" s="286">
        <f t="shared" si="0"/>
        <v>0</v>
      </c>
    </row>
    <row r="39" spans="2:13" ht="34.5" hidden="1">
      <c r="B39" s="300" t="s">
        <v>245</v>
      </c>
      <c r="C39" s="299" t="s">
        <v>204</v>
      </c>
      <c r="D39" s="290"/>
      <c r="E39" s="291"/>
      <c r="F39" s="292"/>
      <c r="G39" s="291"/>
      <c r="H39" s="342"/>
      <c r="I39" s="291"/>
      <c r="J39" s="292"/>
      <c r="K39" s="291"/>
      <c r="L39" s="286">
        <f t="shared" si="0"/>
        <v>0</v>
      </c>
    </row>
    <row r="40" spans="2:13" hidden="1">
      <c r="B40" s="298" t="s">
        <v>33</v>
      </c>
      <c r="C40" s="299" t="s">
        <v>244</v>
      </c>
      <c r="D40" s="290"/>
      <c r="E40" s="291"/>
      <c r="F40" s="292"/>
      <c r="G40" s="291"/>
      <c r="H40" s="342"/>
      <c r="I40" s="291"/>
      <c r="J40" s="292"/>
      <c r="K40" s="291"/>
      <c r="L40" s="286">
        <f t="shared" si="0"/>
        <v>0</v>
      </c>
    </row>
    <row r="41" spans="2:13" ht="23.25" hidden="1">
      <c r="B41" s="300" t="s">
        <v>246</v>
      </c>
      <c r="C41" s="305" t="s">
        <v>203</v>
      </c>
      <c r="D41" s="290"/>
      <c r="E41" s="291"/>
      <c r="F41" s="292"/>
      <c r="G41" s="291"/>
      <c r="H41" s="342"/>
      <c r="I41" s="291"/>
      <c r="J41" s="292"/>
      <c r="K41" s="291"/>
      <c r="L41" s="286">
        <f t="shared" si="0"/>
        <v>0</v>
      </c>
    </row>
    <row r="42" spans="2:13">
      <c r="B42" s="298">
        <v>6</v>
      </c>
      <c r="C42" s="301" t="s">
        <v>31</v>
      </c>
      <c r="D42" s="290"/>
      <c r="E42" s="291"/>
      <c r="F42" s="343">
        <f>G42/'TA01 - PO compilada'!I34</f>
        <v>5.9198033898259478E-2</v>
      </c>
      <c r="G42" s="291">
        <f>'Medição 02'!N29</f>
        <v>5692.7999999999993</v>
      </c>
      <c r="H42" s="342">
        <v>0.8</v>
      </c>
      <c r="I42" s="291">
        <f>H42*'TA01 - PO compilada'!$I$34</f>
        <v>76932.284741536016</v>
      </c>
      <c r="J42" s="342">
        <f>1-H42-F42</f>
        <v>0.14080196610174048</v>
      </c>
      <c r="K42" s="291">
        <f>J42*'TA01 - PO compilada'!$I$34</f>
        <v>13540.271185384001</v>
      </c>
      <c r="L42" s="286">
        <f t="shared" si="0"/>
        <v>96165.35592692002</v>
      </c>
      <c r="M42" s="304"/>
    </row>
    <row r="43" spans="2:13" ht="23.25" hidden="1">
      <c r="B43" s="302" t="s">
        <v>86</v>
      </c>
      <c r="C43" s="297" t="s">
        <v>613</v>
      </c>
      <c r="D43" s="290"/>
      <c r="E43" s="291"/>
      <c r="F43" s="292"/>
      <c r="G43" s="291"/>
      <c r="H43" s="342"/>
      <c r="I43" s="291"/>
      <c r="J43" s="292"/>
      <c r="K43" s="291"/>
      <c r="L43" s="286">
        <f t="shared" si="0"/>
        <v>0</v>
      </c>
    </row>
    <row r="44" spans="2:13">
      <c r="B44" s="298">
        <v>7</v>
      </c>
      <c r="C44" s="301" t="s">
        <v>36</v>
      </c>
      <c r="D44" s="290"/>
      <c r="E44" s="285"/>
      <c r="F44" s="292"/>
      <c r="G44" s="285"/>
      <c r="H44" s="342"/>
      <c r="I44" s="285"/>
      <c r="J44" s="342">
        <v>1</v>
      </c>
      <c r="K44" s="285">
        <f>J44*'TA01 - PO compilada'!I52</f>
        <v>54505.593500000003</v>
      </c>
      <c r="L44" s="286">
        <f t="shared" si="0"/>
        <v>54505.593500000003</v>
      </c>
    </row>
    <row r="45" spans="2:13" hidden="1">
      <c r="B45" s="298" t="s">
        <v>59</v>
      </c>
      <c r="C45" s="299" t="s">
        <v>82</v>
      </c>
      <c r="D45" s="290"/>
      <c r="E45" s="291"/>
      <c r="F45" s="292"/>
      <c r="G45" s="291"/>
      <c r="H45" s="342"/>
      <c r="I45" s="291"/>
      <c r="J45" s="292"/>
      <c r="K45" s="291"/>
      <c r="L45" s="286">
        <f t="shared" si="0"/>
        <v>0</v>
      </c>
    </row>
    <row r="46" spans="2:13" ht="23.25" hidden="1">
      <c r="B46" s="300" t="s">
        <v>88</v>
      </c>
      <c r="C46" s="305" t="s">
        <v>43</v>
      </c>
      <c r="D46" s="290"/>
      <c r="E46" s="291"/>
      <c r="F46" s="292"/>
      <c r="G46" s="291"/>
      <c r="H46" s="342"/>
      <c r="I46" s="291"/>
      <c r="J46" s="292"/>
      <c r="K46" s="291"/>
      <c r="L46" s="286">
        <f t="shared" si="0"/>
        <v>0</v>
      </c>
    </row>
    <row r="47" spans="2:13" ht="23.25" hidden="1">
      <c r="B47" s="300" t="s">
        <v>89</v>
      </c>
      <c r="C47" s="299" t="s">
        <v>98</v>
      </c>
      <c r="D47" s="290"/>
      <c r="E47" s="291"/>
      <c r="F47" s="292"/>
      <c r="G47" s="291"/>
      <c r="H47" s="342"/>
      <c r="I47" s="291"/>
      <c r="J47" s="292"/>
      <c r="K47" s="291"/>
      <c r="L47" s="286">
        <f t="shared" si="0"/>
        <v>0</v>
      </c>
    </row>
    <row r="48" spans="2:13" ht="23.25" hidden="1">
      <c r="B48" s="300" t="s">
        <v>90</v>
      </c>
      <c r="C48" s="305" t="s">
        <v>99</v>
      </c>
      <c r="D48" s="290"/>
      <c r="E48" s="291"/>
      <c r="F48" s="292"/>
      <c r="G48" s="291"/>
      <c r="H48" s="342"/>
      <c r="I48" s="291"/>
      <c r="J48" s="292"/>
      <c r="K48" s="291"/>
      <c r="L48" s="286">
        <f t="shared" si="0"/>
        <v>0</v>
      </c>
    </row>
    <row r="49" spans="2:12" ht="23.25" hidden="1">
      <c r="B49" s="300" t="s">
        <v>91</v>
      </c>
      <c r="C49" s="301" t="s">
        <v>46</v>
      </c>
      <c r="D49" s="290"/>
      <c r="E49" s="291"/>
      <c r="F49" s="292"/>
      <c r="G49" s="291"/>
      <c r="H49" s="342"/>
      <c r="I49" s="291"/>
      <c r="J49" s="292"/>
      <c r="K49" s="291"/>
      <c r="L49" s="286">
        <f t="shared" si="0"/>
        <v>0</v>
      </c>
    </row>
    <row r="50" spans="2:12" hidden="1">
      <c r="B50" s="298" t="s">
        <v>60</v>
      </c>
      <c r="C50" s="299" t="s">
        <v>34</v>
      </c>
      <c r="D50" s="290"/>
      <c r="E50" s="291"/>
      <c r="F50" s="292"/>
      <c r="G50" s="291"/>
      <c r="H50" s="342"/>
      <c r="I50" s="291"/>
      <c r="J50" s="292"/>
      <c r="K50" s="291"/>
      <c r="L50" s="286">
        <f t="shared" si="0"/>
        <v>0</v>
      </c>
    </row>
    <row r="51" spans="2:12" ht="23.25" hidden="1">
      <c r="B51" s="300" t="s">
        <v>92</v>
      </c>
      <c r="C51" s="284" t="s">
        <v>44</v>
      </c>
      <c r="D51" s="290"/>
      <c r="E51" s="291"/>
      <c r="F51" s="292"/>
      <c r="G51" s="291"/>
      <c r="H51" s="342"/>
      <c r="I51" s="291"/>
      <c r="J51" s="292"/>
      <c r="K51" s="291"/>
      <c r="L51" s="286">
        <f t="shared" si="0"/>
        <v>0</v>
      </c>
    </row>
    <row r="52" spans="2:12" ht="23.25" hidden="1">
      <c r="B52" s="300" t="s">
        <v>507</v>
      </c>
      <c r="C52" s="301" t="s">
        <v>47</v>
      </c>
      <c r="D52" s="290"/>
      <c r="E52" s="291"/>
      <c r="F52" s="292"/>
      <c r="G52" s="291"/>
      <c r="H52" s="342"/>
      <c r="I52" s="291"/>
      <c r="J52" s="292"/>
      <c r="K52" s="291"/>
      <c r="L52" s="286">
        <f t="shared" si="0"/>
        <v>0</v>
      </c>
    </row>
    <row r="53" spans="2:12" hidden="1">
      <c r="B53" s="298" t="s">
        <v>61</v>
      </c>
      <c r="C53" s="299" t="s">
        <v>93</v>
      </c>
      <c r="D53" s="290"/>
      <c r="E53" s="291"/>
      <c r="F53" s="292"/>
      <c r="G53" s="291"/>
      <c r="H53" s="342"/>
      <c r="I53" s="291"/>
      <c r="J53" s="292"/>
      <c r="K53" s="291"/>
      <c r="L53" s="286">
        <f t="shared" si="0"/>
        <v>0</v>
      </c>
    </row>
    <row r="54" spans="2:12" ht="23.25" hidden="1">
      <c r="B54" s="300" t="s">
        <v>94</v>
      </c>
      <c r="C54" s="306" t="s">
        <v>51</v>
      </c>
      <c r="D54" s="290"/>
      <c r="E54" s="291"/>
      <c r="F54" s="292"/>
      <c r="G54" s="291"/>
      <c r="H54" s="342"/>
      <c r="I54" s="291"/>
      <c r="J54" s="292"/>
      <c r="K54" s="291"/>
      <c r="L54" s="286">
        <f t="shared" si="0"/>
        <v>0</v>
      </c>
    </row>
    <row r="55" spans="2:12" ht="23.25" hidden="1">
      <c r="B55" s="300" t="s">
        <v>614</v>
      </c>
      <c r="C55" s="301" t="s">
        <v>54</v>
      </c>
      <c r="D55" s="290"/>
      <c r="E55" s="291"/>
      <c r="F55" s="292"/>
      <c r="G55" s="291"/>
      <c r="H55" s="342"/>
      <c r="I55" s="291"/>
      <c r="J55" s="292"/>
      <c r="K55" s="291"/>
      <c r="L55" s="286">
        <f t="shared" si="0"/>
        <v>0</v>
      </c>
    </row>
    <row r="56" spans="2:12" hidden="1">
      <c r="B56" s="298" t="s">
        <v>615</v>
      </c>
      <c r="C56" s="299" t="s">
        <v>95</v>
      </c>
      <c r="D56" s="290"/>
      <c r="E56" s="291"/>
      <c r="F56" s="292"/>
      <c r="G56" s="291"/>
      <c r="H56" s="342"/>
      <c r="I56" s="291"/>
      <c r="J56" s="292"/>
      <c r="K56" s="291"/>
      <c r="L56" s="286">
        <f t="shared" si="0"/>
        <v>0</v>
      </c>
    </row>
    <row r="57" spans="2:12" ht="23.25" hidden="1">
      <c r="B57" s="300" t="s">
        <v>616</v>
      </c>
      <c r="C57" s="306" t="s">
        <v>56</v>
      </c>
      <c r="D57" s="290"/>
      <c r="E57" s="291"/>
      <c r="F57" s="292"/>
      <c r="G57" s="291"/>
      <c r="H57" s="342"/>
      <c r="I57" s="291"/>
      <c r="J57" s="292"/>
      <c r="K57" s="291"/>
      <c r="L57" s="286">
        <f t="shared" si="0"/>
        <v>0</v>
      </c>
    </row>
    <row r="58" spans="2:12" ht="23.25" hidden="1">
      <c r="B58" s="300" t="s">
        <v>617</v>
      </c>
      <c r="C58" s="301" t="s">
        <v>58</v>
      </c>
      <c r="D58" s="290"/>
      <c r="E58" s="291"/>
      <c r="F58" s="292"/>
      <c r="G58" s="291"/>
      <c r="H58" s="342"/>
      <c r="I58" s="291"/>
      <c r="J58" s="292"/>
      <c r="K58" s="291"/>
      <c r="L58" s="286">
        <f t="shared" si="0"/>
        <v>0</v>
      </c>
    </row>
    <row r="59" spans="2:12">
      <c r="B59" s="307">
        <v>8</v>
      </c>
      <c r="C59" s="305" t="s">
        <v>142</v>
      </c>
      <c r="D59" s="290"/>
      <c r="E59" s="285"/>
      <c r="F59" s="343">
        <f>G59/'TA01 - PO compilada'!I85</f>
        <v>6.9278554490303595E-2</v>
      </c>
      <c r="G59" s="285">
        <f>'Medição 02'!N73</f>
        <v>5547.73</v>
      </c>
      <c r="H59" s="342">
        <f>1-F59-J59</f>
        <v>0.8307214455096964</v>
      </c>
      <c r="I59" s="285">
        <f>H59*'TA01 - PO compilada'!$I$85</f>
        <v>66523.014500000019</v>
      </c>
      <c r="J59" s="342">
        <v>0.1</v>
      </c>
      <c r="K59" s="285">
        <f>J59*'TA01 - PO compilada'!$I$85</f>
        <v>8007.8605000000025</v>
      </c>
      <c r="L59" s="286">
        <f t="shared" si="0"/>
        <v>80078.60500000001</v>
      </c>
    </row>
    <row r="60" spans="2:12" hidden="1">
      <c r="B60" s="298" t="s">
        <v>96</v>
      </c>
      <c r="C60" s="299" t="s">
        <v>143</v>
      </c>
      <c r="D60" s="290"/>
      <c r="E60" s="291"/>
      <c r="F60" s="292"/>
      <c r="G60" s="291"/>
      <c r="H60" s="342"/>
      <c r="I60" s="291"/>
      <c r="J60" s="292"/>
      <c r="K60" s="291"/>
      <c r="L60" s="286">
        <f t="shared" si="0"/>
        <v>0</v>
      </c>
    </row>
    <row r="61" spans="2:12" ht="34.5" hidden="1">
      <c r="B61" s="300" t="s">
        <v>122</v>
      </c>
      <c r="C61" s="306" t="s">
        <v>121</v>
      </c>
      <c r="D61" s="290"/>
      <c r="E61" s="291"/>
      <c r="F61" s="292"/>
      <c r="G61" s="291"/>
      <c r="H61" s="342"/>
      <c r="I61" s="291"/>
      <c r="J61" s="292"/>
      <c r="K61" s="291"/>
      <c r="L61" s="286">
        <f t="shared" si="0"/>
        <v>0</v>
      </c>
    </row>
    <row r="62" spans="2:12" ht="23.25" hidden="1">
      <c r="B62" s="300" t="s">
        <v>124</v>
      </c>
      <c r="C62" s="301" t="s">
        <v>123</v>
      </c>
      <c r="D62" s="290"/>
      <c r="E62" s="291"/>
      <c r="F62" s="292"/>
      <c r="G62" s="291"/>
      <c r="H62" s="342"/>
      <c r="I62" s="291"/>
      <c r="J62" s="292"/>
      <c r="K62" s="291"/>
      <c r="L62" s="286">
        <f t="shared" si="0"/>
        <v>0</v>
      </c>
    </row>
    <row r="63" spans="2:12" ht="23.25" hidden="1">
      <c r="B63" s="300" t="s">
        <v>126</v>
      </c>
      <c r="C63" s="306" t="s">
        <v>125</v>
      </c>
      <c r="D63" s="290"/>
      <c r="E63" s="291"/>
      <c r="F63" s="292"/>
      <c r="G63" s="291"/>
      <c r="H63" s="342"/>
      <c r="I63" s="291"/>
      <c r="J63" s="292"/>
      <c r="K63" s="291"/>
      <c r="L63" s="286">
        <f t="shared" si="0"/>
        <v>0</v>
      </c>
    </row>
    <row r="64" spans="2:12" ht="45.75" hidden="1">
      <c r="B64" s="300" t="s">
        <v>144</v>
      </c>
      <c r="C64" s="301" t="s">
        <v>145</v>
      </c>
      <c r="D64" s="290"/>
      <c r="E64" s="291"/>
      <c r="F64" s="292"/>
      <c r="G64" s="291"/>
      <c r="H64" s="342"/>
      <c r="I64" s="291"/>
      <c r="J64" s="292"/>
      <c r="K64" s="291"/>
      <c r="L64" s="286">
        <f t="shared" si="0"/>
        <v>0</v>
      </c>
    </row>
    <row r="65" spans="2:12" ht="23.25" hidden="1">
      <c r="B65" s="300" t="s">
        <v>146</v>
      </c>
      <c r="C65" s="306" t="s">
        <v>147</v>
      </c>
      <c r="D65" s="290"/>
      <c r="E65" s="291"/>
      <c r="F65" s="292"/>
      <c r="G65" s="291"/>
      <c r="H65" s="342"/>
      <c r="I65" s="291"/>
      <c r="J65" s="292"/>
      <c r="K65" s="291"/>
      <c r="L65" s="286">
        <f t="shared" si="0"/>
        <v>0</v>
      </c>
    </row>
    <row r="66" spans="2:12" ht="34.5" hidden="1">
      <c r="B66" s="300" t="s">
        <v>148</v>
      </c>
      <c r="C66" s="308" t="s">
        <v>149</v>
      </c>
      <c r="D66" s="290"/>
      <c r="E66" s="291"/>
      <c r="F66" s="292"/>
      <c r="G66" s="291"/>
      <c r="H66" s="342"/>
      <c r="I66" s="291"/>
      <c r="J66" s="292"/>
      <c r="K66" s="291"/>
      <c r="L66" s="286">
        <f t="shared" si="0"/>
        <v>0</v>
      </c>
    </row>
    <row r="67" spans="2:12" ht="34.5" hidden="1">
      <c r="B67" s="300" t="s">
        <v>150</v>
      </c>
      <c r="C67" s="309" t="s">
        <v>151</v>
      </c>
      <c r="D67" s="290"/>
      <c r="E67" s="291"/>
      <c r="F67" s="292"/>
      <c r="G67" s="291"/>
      <c r="H67" s="342"/>
      <c r="I67" s="291"/>
      <c r="J67" s="292"/>
      <c r="K67" s="291"/>
      <c r="L67" s="286">
        <f t="shared" si="0"/>
        <v>0</v>
      </c>
    </row>
    <row r="68" spans="2:12" ht="34.5" hidden="1">
      <c r="B68" s="300" t="s">
        <v>152</v>
      </c>
      <c r="C68" s="308" t="s">
        <v>153</v>
      </c>
      <c r="D68" s="290"/>
      <c r="E68" s="291"/>
      <c r="F68" s="292"/>
      <c r="G68" s="291"/>
      <c r="H68" s="342"/>
      <c r="I68" s="291"/>
      <c r="J68" s="292"/>
      <c r="K68" s="291"/>
      <c r="L68" s="286">
        <f t="shared" si="0"/>
        <v>0</v>
      </c>
    </row>
    <row r="69" spans="2:12" ht="23.25" hidden="1">
      <c r="B69" s="300" t="s">
        <v>154</v>
      </c>
      <c r="C69" s="306" t="s">
        <v>155</v>
      </c>
      <c r="D69" s="290"/>
      <c r="E69" s="291"/>
      <c r="F69" s="292"/>
      <c r="G69" s="291"/>
      <c r="H69" s="342"/>
      <c r="I69" s="291"/>
      <c r="J69" s="292"/>
      <c r="K69" s="291"/>
      <c r="L69" s="286">
        <f t="shared" si="0"/>
        <v>0</v>
      </c>
    </row>
    <row r="70" spans="2:12" ht="34.5" hidden="1">
      <c r="B70" s="300" t="s">
        <v>156</v>
      </c>
      <c r="C70" s="301" t="s">
        <v>157</v>
      </c>
      <c r="D70" s="290"/>
      <c r="E70" s="291"/>
      <c r="F70" s="292"/>
      <c r="G70" s="291"/>
      <c r="H70" s="342"/>
      <c r="I70" s="291"/>
      <c r="J70" s="292"/>
      <c r="K70" s="291"/>
      <c r="L70" s="286">
        <f t="shared" si="0"/>
        <v>0</v>
      </c>
    </row>
    <row r="71" spans="2:12" ht="34.5" hidden="1">
      <c r="B71" s="300" t="s">
        <v>158</v>
      </c>
      <c r="C71" s="306" t="s">
        <v>159</v>
      </c>
      <c r="D71" s="290"/>
      <c r="E71" s="291"/>
      <c r="F71" s="292"/>
      <c r="G71" s="291"/>
      <c r="H71" s="342"/>
      <c r="I71" s="291"/>
      <c r="J71" s="292"/>
      <c r="K71" s="291"/>
      <c r="L71" s="286">
        <f t="shared" si="0"/>
        <v>0</v>
      </c>
    </row>
    <row r="72" spans="2:12" ht="34.5" hidden="1">
      <c r="B72" s="300" t="s">
        <v>160</v>
      </c>
      <c r="C72" s="301" t="s">
        <v>161</v>
      </c>
      <c r="D72" s="290"/>
      <c r="E72" s="291"/>
      <c r="F72" s="292"/>
      <c r="G72" s="291"/>
      <c r="H72" s="342"/>
      <c r="I72" s="291"/>
      <c r="J72" s="292"/>
      <c r="K72" s="291"/>
      <c r="L72" s="286">
        <f t="shared" si="0"/>
        <v>0</v>
      </c>
    </row>
    <row r="73" spans="2:12" ht="34.5" hidden="1">
      <c r="B73" s="300" t="s">
        <v>162</v>
      </c>
      <c r="C73" s="306" t="s">
        <v>163</v>
      </c>
      <c r="D73" s="290"/>
      <c r="E73" s="291"/>
      <c r="F73" s="292"/>
      <c r="G73" s="291"/>
      <c r="H73" s="342"/>
      <c r="I73" s="291"/>
      <c r="J73" s="292"/>
      <c r="K73" s="291"/>
      <c r="L73" s="286">
        <f t="shared" si="0"/>
        <v>0</v>
      </c>
    </row>
    <row r="74" spans="2:12" ht="23.25" hidden="1">
      <c r="B74" s="300" t="s">
        <v>164</v>
      </c>
      <c r="C74" s="301" t="s">
        <v>165</v>
      </c>
      <c r="D74" s="290"/>
      <c r="E74" s="291"/>
      <c r="F74" s="292"/>
      <c r="G74" s="291"/>
      <c r="H74" s="342"/>
      <c r="I74" s="291"/>
      <c r="J74" s="292"/>
      <c r="K74" s="291"/>
      <c r="L74" s="286">
        <f t="shared" ref="L74:L111" si="1">E74+G74+I74+K74</f>
        <v>0</v>
      </c>
    </row>
    <row r="75" spans="2:12" hidden="1">
      <c r="B75" s="298" t="s">
        <v>102</v>
      </c>
      <c r="C75" s="299" t="s">
        <v>166</v>
      </c>
      <c r="D75" s="290"/>
      <c r="E75" s="291"/>
      <c r="F75" s="292"/>
      <c r="G75" s="291"/>
      <c r="H75" s="342"/>
      <c r="I75" s="291"/>
      <c r="J75" s="292"/>
      <c r="K75" s="291"/>
      <c r="L75" s="286">
        <f t="shared" si="1"/>
        <v>0</v>
      </c>
    </row>
    <row r="76" spans="2:12" ht="23.25" hidden="1">
      <c r="B76" s="300" t="s">
        <v>108</v>
      </c>
      <c r="C76" s="306" t="s">
        <v>167</v>
      </c>
      <c r="D76" s="290"/>
      <c r="E76" s="291"/>
      <c r="F76" s="292"/>
      <c r="G76" s="291"/>
      <c r="H76" s="342"/>
      <c r="I76" s="291"/>
      <c r="J76" s="292"/>
      <c r="K76" s="291"/>
      <c r="L76" s="286">
        <f t="shared" si="1"/>
        <v>0</v>
      </c>
    </row>
    <row r="77" spans="2:12" ht="23.25" hidden="1">
      <c r="B77" s="300" t="s">
        <v>168</v>
      </c>
      <c r="C77" s="301" t="s">
        <v>169</v>
      </c>
      <c r="D77" s="290"/>
      <c r="E77" s="291"/>
      <c r="F77" s="292"/>
      <c r="G77" s="291"/>
      <c r="H77" s="342"/>
      <c r="I77" s="291"/>
      <c r="J77" s="292"/>
      <c r="K77" s="291"/>
      <c r="L77" s="286">
        <f t="shared" si="1"/>
        <v>0</v>
      </c>
    </row>
    <row r="78" spans="2:12" ht="34.5" hidden="1">
      <c r="B78" s="300" t="s">
        <v>170</v>
      </c>
      <c r="C78" s="306" t="s">
        <v>171</v>
      </c>
      <c r="D78" s="290"/>
      <c r="E78" s="291"/>
      <c r="F78" s="292"/>
      <c r="G78" s="291"/>
      <c r="H78" s="342"/>
      <c r="I78" s="291"/>
      <c r="J78" s="292"/>
      <c r="K78" s="291"/>
      <c r="L78" s="286">
        <f t="shared" si="1"/>
        <v>0</v>
      </c>
    </row>
    <row r="79" spans="2:12" ht="23.25" hidden="1">
      <c r="B79" s="300" t="s">
        <v>172</v>
      </c>
      <c r="C79" s="301" t="s">
        <v>173</v>
      </c>
      <c r="D79" s="290"/>
      <c r="E79" s="291"/>
      <c r="F79" s="292"/>
      <c r="G79" s="291"/>
      <c r="H79" s="342"/>
      <c r="I79" s="291"/>
      <c r="J79" s="292"/>
      <c r="K79" s="291"/>
      <c r="L79" s="286">
        <f t="shared" si="1"/>
        <v>0</v>
      </c>
    </row>
    <row r="80" spans="2:12" hidden="1">
      <c r="B80" s="298" t="s">
        <v>103</v>
      </c>
      <c r="C80" s="309" t="s">
        <v>618</v>
      </c>
      <c r="D80" s="290"/>
      <c r="E80" s="291"/>
      <c r="F80" s="292"/>
      <c r="G80" s="291"/>
      <c r="H80" s="342"/>
      <c r="I80" s="291"/>
      <c r="J80" s="292"/>
      <c r="K80" s="291"/>
      <c r="L80" s="286">
        <f t="shared" si="1"/>
        <v>0</v>
      </c>
    </row>
    <row r="81" spans="2:12" hidden="1">
      <c r="B81" s="298" t="s">
        <v>104</v>
      </c>
      <c r="C81" s="308" t="s">
        <v>106</v>
      </c>
      <c r="D81" s="290"/>
      <c r="E81" s="291"/>
      <c r="F81" s="292"/>
      <c r="G81" s="291"/>
      <c r="H81" s="342"/>
      <c r="I81" s="291"/>
      <c r="J81" s="292"/>
      <c r="K81" s="291"/>
      <c r="L81" s="286">
        <f t="shared" si="1"/>
        <v>0</v>
      </c>
    </row>
    <row r="82" spans="2:12" hidden="1">
      <c r="B82" s="298" t="s">
        <v>105</v>
      </c>
      <c r="C82" s="299" t="s">
        <v>211</v>
      </c>
      <c r="D82" s="290"/>
      <c r="E82" s="291"/>
      <c r="F82" s="292"/>
      <c r="G82" s="291"/>
      <c r="H82" s="342"/>
      <c r="I82" s="291"/>
      <c r="J82" s="292"/>
      <c r="K82" s="291"/>
      <c r="L82" s="286">
        <f t="shared" si="1"/>
        <v>0</v>
      </c>
    </row>
    <row r="83" spans="2:12" ht="23.25" hidden="1">
      <c r="B83" s="300" t="s">
        <v>210</v>
      </c>
      <c r="C83" s="301" t="s">
        <v>174</v>
      </c>
      <c r="D83" s="290"/>
      <c r="E83" s="291"/>
      <c r="F83" s="292"/>
      <c r="G83" s="291"/>
      <c r="H83" s="342"/>
      <c r="I83" s="291"/>
      <c r="J83" s="292"/>
      <c r="K83" s="291"/>
      <c r="L83" s="286">
        <f t="shared" si="1"/>
        <v>0</v>
      </c>
    </row>
    <row r="84" spans="2:12" ht="23.25" hidden="1">
      <c r="B84" s="300" t="s">
        <v>619</v>
      </c>
      <c r="C84" s="306" t="s">
        <v>175</v>
      </c>
      <c r="D84" s="290"/>
      <c r="E84" s="291"/>
      <c r="F84" s="292"/>
      <c r="G84" s="291"/>
      <c r="H84" s="342"/>
      <c r="I84" s="291"/>
      <c r="J84" s="292"/>
      <c r="K84" s="291"/>
      <c r="L84" s="286">
        <f t="shared" si="1"/>
        <v>0</v>
      </c>
    </row>
    <row r="85" spans="2:12" ht="23.25" hidden="1">
      <c r="B85" s="300" t="s">
        <v>620</v>
      </c>
      <c r="C85" s="301" t="s">
        <v>209</v>
      </c>
      <c r="D85" s="290"/>
      <c r="E85" s="291"/>
      <c r="F85" s="292"/>
      <c r="G85" s="291"/>
      <c r="H85" s="342"/>
      <c r="I85" s="291"/>
      <c r="J85" s="292"/>
      <c r="K85" s="291"/>
      <c r="L85" s="286">
        <f t="shared" si="1"/>
        <v>0</v>
      </c>
    </row>
    <row r="86" spans="2:12" ht="23.25" hidden="1">
      <c r="B86" s="300" t="s">
        <v>621</v>
      </c>
      <c r="C86" s="306" t="s">
        <v>176</v>
      </c>
      <c r="D86" s="290"/>
      <c r="E86" s="291"/>
      <c r="F86" s="292"/>
      <c r="G86" s="291"/>
      <c r="H86" s="342"/>
      <c r="I86" s="291"/>
      <c r="J86" s="292"/>
      <c r="K86" s="291"/>
      <c r="L86" s="286">
        <f t="shared" si="1"/>
        <v>0</v>
      </c>
    </row>
    <row r="87" spans="2:12" hidden="1">
      <c r="B87" s="298" t="s">
        <v>622</v>
      </c>
      <c r="C87" s="299" t="s">
        <v>66</v>
      </c>
      <c r="D87" s="290"/>
      <c r="E87" s="291"/>
      <c r="F87" s="292"/>
      <c r="G87" s="291"/>
      <c r="H87" s="342"/>
      <c r="I87" s="291"/>
      <c r="J87" s="292"/>
      <c r="K87" s="291"/>
      <c r="L87" s="286">
        <f t="shared" si="1"/>
        <v>0</v>
      </c>
    </row>
    <row r="88" spans="2:12">
      <c r="B88" s="298">
        <v>9</v>
      </c>
      <c r="C88" s="284" t="s">
        <v>107</v>
      </c>
      <c r="D88" s="290"/>
      <c r="E88" s="291"/>
      <c r="F88" s="292"/>
      <c r="G88" s="285"/>
      <c r="H88" s="343"/>
      <c r="I88" s="285"/>
      <c r="J88" s="340">
        <v>1</v>
      </c>
      <c r="K88" s="285">
        <f>J88*'TA01 - PO compilada'!$I$135</f>
        <v>66178.782000000007</v>
      </c>
      <c r="L88" s="286">
        <f t="shared" si="1"/>
        <v>66178.782000000007</v>
      </c>
    </row>
    <row r="89" spans="2:12" hidden="1">
      <c r="B89" s="298" t="s">
        <v>101</v>
      </c>
      <c r="C89" s="299" t="s">
        <v>97</v>
      </c>
      <c r="D89" s="290"/>
      <c r="E89" s="291"/>
      <c r="F89" s="292"/>
      <c r="G89" s="291"/>
      <c r="H89" s="342"/>
      <c r="I89" s="291"/>
      <c r="J89" s="292"/>
      <c r="K89" s="291"/>
      <c r="L89" s="286">
        <f t="shared" si="1"/>
        <v>0</v>
      </c>
    </row>
    <row r="90" spans="2:12" ht="45.75" hidden="1">
      <c r="B90" s="300" t="s">
        <v>128</v>
      </c>
      <c r="C90" s="306" t="s">
        <v>247</v>
      </c>
      <c r="D90" s="290"/>
      <c r="E90" s="291"/>
      <c r="F90" s="292"/>
      <c r="G90" s="291"/>
      <c r="H90" s="342"/>
      <c r="I90" s="291"/>
      <c r="J90" s="292"/>
      <c r="K90" s="291"/>
      <c r="L90" s="286">
        <f t="shared" si="1"/>
        <v>0</v>
      </c>
    </row>
    <row r="91" spans="2:12" ht="45.75" hidden="1">
      <c r="B91" s="300" t="s">
        <v>129</v>
      </c>
      <c r="C91" s="308" t="s">
        <v>248</v>
      </c>
      <c r="D91" s="290"/>
      <c r="E91" s="291"/>
      <c r="F91" s="292"/>
      <c r="G91" s="291"/>
      <c r="H91" s="342"/>
      <c r="I91" s="291"/>
      <c r="J91" s="292"/>
      <c r="K91" s="291"/>
      <c r="L91" s="286">
        <f t="shared" si="1"/>
        <v>0</v>
      </c>
    </row>
    <row r="92" spans="2:12" ht="45.75" hidden="1">
      <c r="B92" s="300" t="s">
        <v>130</v>
      </c>
      <c r="C92" s="306" t="s">
        <v>127</v>
      </c>
      <c r="D92" s="290"/>
      <c r="E92" s="291"/>
      <c r="F92" s="292"/>
      <c r="G92" s="291"/>
      <c r="H92" s="342"/>
      <c r="I92" s="291"/>
      <c r="J92" s="292"/>
      <c r="K92" s="291"/>
      <c r="L92" s="286">
        <f t="shared" si="1"/>
        <v>0</v>
      </c>
    </row>
    <row r="93" spans="2:12" ht="68.25" hidden="1">
      <c r="B93" s="300" t="s">
        <v>131</v>
      </c>
      <c r="C93" s="301" t="s">
        <v>206</v>
      </c>
      <c r="D93" s="290"/>
      <c r="E93" s="291"/>
      <c r="F93" s="292"/>
      <c r="G93" s="291"/>
      <c r="H93" s="342"/>
      <c r="I93" s="291"/>
      <c r="J93" s="292"/>
      <c r="K93" s="291"/>
      <c r="L93" s="286">
        <f t="shared" si="1"/>
        <v>0</v>
      </c>
    </row>
    <row r="94" spans="2:12" ht="57" hidden="1">
      <c r="B94" s="300" t="s">
        <v>132</v>
      </c>
      <c r="C94" s="306" t="s">
        <v>207</v>
      </c>
      <c r="D94" s="290"/>
      <c r="E94" s="291"/>
      <c r="F94" s="292"/>
      <c r="G94" s="291"/>
      <c r="H94" s="342"/>
      <c r="I94" s="291"/>
      <c r="J94" s="292"/>
      <c r="K94" s="291"/>
      <c r="L94" s="286">
        <f t="shared" si="1"/>
        <v>0</v>
      </c>
    </row>
    <row r="95" spans="2:12" ht="45.75" hidden="1">
      <c r="B95" s="300" t="s">
        <v>133</v>
      </c>
      <c r="C95" s="301" t="s">
        <v>208</v>
      </c>
      <c r="D95" s="290"/>
      <c r="E95" s="291"/>
      <c r="F95" s="292"/>
      <c r="G95" s="291"/>
      <c r="H95" s="342"/>
      <c r="I95" s="291"/>
      <c r="J95" s="292"/>
      <c r="K95" s="291"/>
      <c r="L95" s="286">
        <f t="shared" si="1"/>
        <v>0</v>
      </c>
    </row>
    <row r="96" spans="2:12" ht="45.75" hidden="1">
      <c r="B96" s="300" t="s">
        <v>134</v>
      </c>
      <c r="C96" s="309" t="s">
        <v>177</v>
      </c>
      <c r="D96" s="290"/>
      <c r="E96" s="291"/>
      <c r="F96" s="292"/>
      <c r="G96" s="291"/>
      <c r="H96" s="342"/>
      <c r="I96" s="291"/>
      <c r="J96" s="292"/>
      <c r="K96" s="291"/>
      <c r="L96" s="286">
        <f t="shared" si="1"/>
        <v>0</v>
      </c>
    </row>
    <row r="97" spans="2:12" ht="23.25" hidden="1">
      <c r="B97" s="300" t="s">
        <v>212</v>
      </c>
      <c r="C97" s="301" t="s">
        <v>178</v>
      </c>
      <c r="D97" s="290"/>
      <c r="E97" s="291"/>
      <c r="F97" s="292"/>
      <c r="G97" s="291"/>
      <c r="H97" s="342"/>
      <c r="I97" s="291"/>
      <c r="J97" s="292"/>
      <c r="K97" s="291"/>
      <c r="L97" s="286">
        <f t="shared" si="1"/>
        <v>0</v>
      </c>
    </row>
    <row r="98" spans="2:12" ht="23.25" hidden="1">
      <c r="B98" s="300" t="s">
        <v>213</v>
      </c>
      <c r="C98" s="306" t="s">
        <v>179</v>
      </c>
      <c r="D98" s="290"/>
      <c r="E98" s="291"/>
      <c r="F98" s="292"/>
      <c r="G98" s="291"/>
      <c r="H98" s="342"/>
      <c r="I98" s="291"/>
      <c r="J98" s="292"/>
      <c r="K98" s="291"/>
      <c r="L98" s="286">
        <f t="shared" si="1"/>
        <v>0</v>
      </c>
    </row>
    <row r="99" spans="2:12" ht="23.25" hidden="1">
      <c r="B99" s="300" t="s">
        <v>214</v>
      </c>
      <c r="C99" s="301" t="s">
        <v>180</v>
      </c>
      <c r="D99" s="290"/>
      <c r="E99" s="291"/>
      <c r="F99" s="292"/>
      <c r="G99" s="291"/>
      <c r="H99" s="342"/>
      <c r="I99" s="291"/>
      <c r="J99" s="292"/>
      <c r="K99" s="291"/>
      <c r="L99" s="286">
        <f t="shared" si="1"/>
        <v>0</v>
      </c>
    </row>
    <row r="100" spans="2:12" ht="23.25" hidden="1">
      <c r="B100" s="300" t="s">
        <v>215</v>
      </c>
      <c r="C100" s="306" t="s">
        <v>181</v>
      </c>
      <c r="D100" s="290"/>
      <c r="E100" s="291"/>
      <c r="F100" s="292"/>
      <c r="G100" s="291"/>
      <c r="H100" s="342"/>
      <c r="I100" s="291"/>
      <c r="J100" s="292"/>
      <c r="K100" s="291"/>
      <c r="L100" s="286">
        <f t="shared" si="1"/>
        <v>0</v>
      </c>
    </row>
    <row r="101" spans="2:12" ht="23.25" hidden="1">
      <c r="B101" s="300" t="s">
        <v>216</v>
      </c>
      <c r="C101" s="301" t="s">
        <v>182</v>
      </c>
      <c r="D101" s="290"/>
      <c r="E101" s="291"/>
      <c r="F101" s="292"/>
      <c r="G101" s="291"/>
      <c r="H101" s="342"/>
      <c r="I101" s="291"/>
      <c r="J101" s="292"/>
      <c r="K101" s="291"/>
      <c r="L101" s="286">
        <f t="shared" si="1"/>
        <v>0</v>
      </c>
    </row>
    <row r="102" spans="2:12" ht="23.25" hidden="1">
      <c r="B102" s="300" t="s">
        <v>217</v>
      </c>
      <c r="C102" s="306" t="s">
        <v>183</v>
      </c>
      <c r="D102" s="290"/>
      <c r="E102" s="291"/>
      <c r="F102" s="292"/>
      <c r="G102" s="291"/>
      <c r="H102" s="342"/>
      <c r="I102" s="291"/>
      <c r="J102" s="292"/>
      <c r="K102" s="291"/>
      <c r="L102" s="286">
        <f t="shared" si="1"/>
        <v>0</v>
      </c>
    </row>
    <row r="103" spans="2:12" ht="34.5" hidden="1">
      <c r="B103" s="300" t="s">
        <v>218</v>
      </c>
      <c r="C103" s="301" t="s">
        <v>184</v>
      </c>
      <c r="D103" s="290"/>
      <c r="E103" s="291"/>
      <c r="F103" s="292"/>
      <c r="G103" s="291"/>
      <c r="H103" s="342"/>
      <c r="I103" s="291"/>
      <c r="J103" s="292"/>
      <c r="K103" s="291"/>
      <c r="L103" s="286">
        <f t="shared" si="1"/>
        <v>0</v>
      </c>
    </row>
    <row r="104" spans="2:12" ht="23.25" hidden="1">
      <c r="B104" s="300" t="s">
        <v>249</v>
      </c>
      <c r="C104" s="301" t="s">
        <v>623</v>
      </c>
      <c r="D104" s="290"/>
      <c r="E104" s="291"/>
      <c r="F104" s="292"/>
      <c r="G104" s="291"/>
      <c r="H104" s="342"/>
      <c r="I104" s="291"/>
      <c r="J104" s="292"/>
      <c r="K104" s="291"/>
      <c r="L104" s="286">
        <f t="shared" si="1"/>
        <v>0</v>
      </c>
    </row>
    <row r="105" spans="2:12" ht="23.25" hidden="1">
      <c r="B105" s="300" t="s">
        <v>551</v>
      </c>
      <c r="C105" s="301" t="s">
        <v>624</v>
      </c>
      <c r="D105" s="290"/>
      <c r="E105" s="291"/>
      <c r="F105" s="292"/>
      <c r="G105" s="291"/>
      <c r="H105" s="342"/>
      <c r="I105" s="291"/>
      <c r="J105" s="292"/>
      <c r="K105" s="291"/>
      <c r="L105" s="286">
        <f t="shared" si="1"/>
        <v>0</v>
      </c>
    </row>
    <row r="106" spans="2:12" ht="23.25" hidden="1">
      <c r="B106" s="300" t="s">
        <v>552</v>
      </c>
      <c r="C106" s="284" t="s">
        <v>625</v>
      </c>
      <c r="D106" s="290"/>
      <c r="E106" s="291"/>
      <c r="F106" s="292"/>
      <c r="G106" s="291"/>
      <c r="H106" s="342"/>
      <c r="I106" s="291"/>
      <c r="J106" s="292"/>
      <c r="K106" s="291"/>
      <c r="L106" s="286">
        <f t="shared" si="1"/>
        <v>0</v>
      </c>
    </row>
    <row r="107" spans="2:12" ht="23.25" hidden="1">
      <c r="B107" s="300" t="s">
        <v>553</v>
      </c>
      <c r="C107" s="301" t="s">
        <v>626</v>
      </c>
      <c r="D107" s="290"/>
      <c r="E107" s="291"/>
      <c r="F107" s="292"/>
      <c r="G107" s="291"/>
      <c r="H107" s="342"/>
      <c r="I107" s="291"/>
      <c r="J107" s="292"/>
      <c r="K107" s="291"/>
      <c r="L107" s="286">
        <f t="shared" si="1"/>
        <v>0</v>
      </c>
    </row>
    <row r="108" spans="2:12" ht="23.25" hidden="1">
      <c r="B108" s="300" t="s">
        <v>559</v>
      </c>
      <c r="C108" s="301" t="s">
        <v>627</v>
      </c>
      <c r="D108" s="290"/>
      <c r="E108" s="291"/>
      <c r="F108" s="292"/>
      <c r="G108" s="291"/>
      <c r="H108" s="342"/>
      <c r="I108" s="291"/>
      <c r="J108" s="292"/>
      <c r="K108" s="291"/>
      <c r="L108" s="286">
        <f t="shared" si="1"/>
        <v>0</v>
      </c>
    </row>
    <row r="109" spans="2:12" hidden="1">
      <c r="B109" s="298" t="s">
        <v>110</v>
      </c>
      <c r="C109" s="309" t="s">
        <v>109</v>
      </c>
      <c r="D109" s="290"/>
      <c r="E109" s="291"/>
      <c r="F109" s="292"/>
      <c r="G109" s="291"/>
      <c r="H109" s="342"/>
      <c r="I109" s="291"/>
      <c r="J109" s="292"/>
      <c r="K109" s="291"/>
      <c r="L109" s="286">
        <f t="shared" si="1"/>
        <v>0</v>
      </c>
    </row>
    <row r="110" spans="2:12" hidden="1">
      <c r="B110" s="298" t="s">
        <v>628</v>
      </c>
      <c r="C110" s="308" t="s">
        <v>629</v>
      </c>
      <c r="D110" s="290"/>
      <c r="E110" s="291"/>
      <c r="F110" s="292"/>
      <c r="G110" s="291"/>
      <c r="H110" s="342"/>
      <c r="I110" s="291"/>
      <c r="J110" s="292"/>
      <c r="K110" s="291"/>
      <c r="L110" s="286">
        <f t="shared" si="1"/>
        <v>0</v>
      </c>
    </row>
    <row r="111" spans="2:12" ht="23.25" hidden="1">
      <c r="B111" s="300" t="s">
        <v>630</v>
      </c>
      <c r="C111" s="308" t="s">
        <v>631</v>
      </c>
      <c r="D111" s="290"/>
      <c r="E111" s="291"/>
      <c r="F111" s="292"/>
      <c r="G111" s="291"/>
      <c r="H111" s="342"/>
      <c r="I111" s="291"/>
      <c r="J111" s="292"/>
      <c r="K111" s="291"/>
      <c r="L111" s="286">
        <f t="shared" si="1"/>
        <v>0</v>
      </c>
    </row>
    <row r="112" spans="2:12">
      <c r="B112" s="338">
        <v>10</v>
      </c>
      <c r="C112" s="339" t="s">
        <v>67</v>
      </c>
      <c r="D112" s="346"/>
      <c r="E112" s="347"/>
      <c r="F112" s="348"/>
      <c r="G112" s="347"/>
      <c r="H112" s="349"/>
      <c r="I112" s="350"/>
      <c r="J112" s="348"/>
      <c r="K112" s="350"/>
      <c r="L112" s="351"/>
    </row>
    <row r="113" spans="2:12" hidden="1">
      <c r="B113" s="298" t="s">
        <v>100</v>
      </c>
      <c r="C113" s="299" t="s">
        <v>115</v>
      </c>
      <c r="D113" s="310"/>
      <c r="E113" s="311"/>
      <c r="F113" s="312"/>
      <c r="G113" s="311"/>
      <c r="H113" s="344"/>
      <c r="I113" s="311"/>
      <c r="J113" s="312"/>
      <c r="K113" s="311"/>
      <c r="L113" s="293"/>
    </row>
    <row r="114" spans="2:12" ht="34.5" hidden="1">
      <c r="B114" s="300" t="s">
        <v>223</v>
      </c>
      <c r="C114" s="306" t="s">
        <v>185</v>
      </c>
      <c r="D114" s="310"/>
      <c r="E114" s="311"/>
      <c r="F114" s="312"/>
      <c r="G114" s="311"/>
      <c r="H114" s="344"/>
      <c r="I114" s="311"/>
      <c r="J114" s="312"/>
      <c r="K114" s="311"/>
      <c r="L114" s="293"/>
    </row>
    <row r="115" spans="2:12" hidden="1">
      <c r="B115" s="298" t="s">
        <v>113</v>
      </c>
      <c r="C115" s="299" t="s">
        <v>220</v>
      </c>
      <c r="D115" s="310"/>
      <c r="E115" s="311"/>
      <c r="F115" s="312"/>
      <c r="G115" s="311"/>
      <c r="H115" s="344"/>
      <c r="I115" s="311"/>
      <c r="J115" s="312"/>
      <c r="K115" s="311"/>
      <c r="L115" s="293"/>
    </row>
    <row r="116" spans="2:12" ht="34.5" hidden="1">
      <c r="B116" s="300" t="s">
        <v>224</v>
      </c>
      <c r="C116" s="306" t="s">
        <v>187</v>
      </c>
      <c r="D116" s="310"/>
      <c r="E116" s="311"/>
      <c r="F116" s="312"/>
      <c r="G116" s="311"/>
      <c r="H116" s="344"/>
      <c r="I116" s="311"/>
      <c r="J116" s="312"/>
      <c r="K116" s="311"/>
      <c r="L116" s="293"/>
    </row>
    <row r="117" spans="2:12" ht="23.25" hidden="1">
      <c r="B117" s="300" t="s">
        <v>225</v>
      </c>
      <c r="C117" s="308" t="s">
        <v>632</v>
      </c>
      <c r="D117" s="310"/>
      <c r="E117" s="311"/>
      <c r="F117" s="312"/>
      <c r="G117" s="311"/>
      <c r="H117" s="344"/>
      <c r="I117" s="311"/>
      <c r="J117" s="312"/>
      <c r="K117" s="311"/>
      <c r="L117" s="293"/>
    </row>
    <row r="118" spans="2:12" ht="45.75" hidden="1">
      <c r="B118" s="300" t="s">
        <v>226</v>
      </c>
      <c r="C118" s="308" t="s">
        <v>191</v>
      </c>
      <c r="D118" s="310"/>
      <c r="E118" s="311"/>
      <c r="F118" s="312"/>
      <c r="G118" s="311"/>
      <c r="H118" s="344"/>
      <c r="I118" s="311"/>
      <c r="J118" s="312"/>
      <c r="K118" s="311"/>
      <c r="L118" s="293"/>
    </row>
    <row r="119" spans="2:12" ht="23.25" hidden="1">
      <c r="B119" s="300" t="s">
        <v>227</v>
      </c>
      <c r="C119" s="301" t="s">
        <v>193</v>
      </c>
      <c r="D119" s="310"/>
      <c r="E119" s="311"/>
      <c r="F119" s="312"/>
      <c r="G119" s="311"/>
      <c r="H119" s="344"/>
      <c r="I119" s="311"/>
      <c r="J119" s="312"/>
      <c r="K119" s="311"/>
      <c r="L119" s="293"/>
    </row>
    <row r="120" spans="2:12" hidden="1">
      <c r="B120" s="298" t="s">
        <v>114</v>
      </c>
      <c r="C120" s="299" t="s">
        <v>633</v>
      </c>
      <c r="D120" s="310"/>
      <c r="E120" s="311"/>
      <c r="F120" s="312"/>
      <c r="G120" s="311"/>
      <c r="H120" s="344"/>
      <c r="I120" s="311"/>
      <c r="J120" s="312"/>
      <c r="K120" s="311"/>
      <c r="L120" s="293"/>
    </row>
    <row r="121" spans="2:12" ht="23.25" hidden="1">
      <c r="B121" s="300" t="s">
        <v>221</v>
      </c>
      <c r="C121" s="284" t="s">
        <v>634</v>
      </c>
      <c r="D121" s="310"/>
      <c r="E121" s="311"/>
      <c r="F121" s="312"/>
      <c r="G121" s="311"/>
      <c r="H121" s="344"/>
      <c r="I121" s="311"/>
      <c r="J121" s="312"/>
      <c r="K121" s="311"/>
      <c r="L121" s="293"/>
    </row>
    <row r="122" spans="2:12" ht="23.25" hidden="1">
      <c r="B122" s="300" t="s">
        <v>222</v>
      </c>
      <c r="C122" s="301" t="s">
        <v>635</v>
      </c>
      <c r="D122" s="310"/>
      <c r="E122" s="311"/>
      <c r="F122" s="312"/>
      <c r="G122" s="311"/>
      <c r="H122" s="344"/>
      <c r="I122" s="311"/>
      <c r="J122" s="312"/>
      <c r="K122" s="311"/>
      <c r="L122" s="293"/>
    </row>
    <row r="123" spans="2:12" hidden="1">
      <c r="B123" s="298" t="s">
        <v>117</v>
      </c>
      <c r="C123" s="305" t="s">
        <v>116</v>
      </c>
      <c r="D123" s="310"/>
      <c r="E123" s="311"/>
      <c r="F123" s="312"/>
      <c r="G123" s="311"/>
      <c r="H123" s="344"/>
      <c r="I123" s="311"/>
      <c r="J123" s="312"/>
      <c r="K123" s="311"/>
      <c r="L123" s="293"/>
    </row>
    <row r="124" spans="2:12" ht="23.25" hidden="1">
      <c r="B124" s="300" t="s">
        <v>118</v>
      </c>
      <c r="C124" s="308" t="s">
        <v>194</v>
      </c>
      <c r="D124" s="310"/>
      <c r="E124" s="311"/>
      <c r="F124" s="312"/>
      <c r="G124" s="311"/>
      <c r="H124" s="344"/>
      <c r="I124" s="311"/>
      <c r="J124" s="312"/>
      <c r="K124" s="311"/>
      <c r="L124" s="293"/>
    </row>
    <row r="125" spans="2:12" ht="57" hidden="1">
      <c r="B125" s="300" t="s">
        <v>119</v>
      </c>
      <c r="C125" s="301" t="s">
        <v>636</v>
      </c>
      <c r="D125" s="310"/>
      <c r="E125" s="311"/>
      <c r="F125" s="312"/>
      <c r="G125" s="311"/>
      <c r="H125" s="344"/>
      <c r="I125" s="311"/>
      <c r="J125" s="312"/>
      <c r="K125" s="311"/>
      <c r="L125" s="293"/>
    </row>
    <row r="126" spans="2:12" ht="34.5" hidden="1">
      <c r="B126" s="300" t="s">
        <v>228</v>
      </c>
      <c r="C126" s="301" t="s">
        <v>637</v>
      </c>
      <c r="D126" s="310"/>
      <c r="E126" s="311"/>
      <c r="F126" s="312"/>
      <c r="G126" s="311"/>
      <c r="H126" s="344"/>
      <c r="I126" s="311"/>
      <c r="J126" s="312"/>
      <c r="K126" s="311"/>
      <c r="L126" s="293"/>
    </row>
    <row r="127" spans="2:12" hidden="1">
      <c r="B127" s="298" t="s">
        <v>638</v>
      </c>
      <c r="C127" s="305" t="s">
        <v>219</v>
      </c>
      <c r="D127" s="310"/>
      <c r="E127" s="311"/>
      <c r="F127" s="312"/>
      <c r="G127" s="311"/>
      <c r="H127" s="344"/>
      <c r="I127" s="311"/>
      <c r="J127" s="312"/>
      <c r="K127" s="311"/>
      <c r="L127" s="293"/>
    </row>
    <row r="128" spans="2:12" ht="23.25" hidden="1">
      <c r="B128" s="300" t="s">
        <v>639</v>
      </c>
      <c r="C128" s="308" t="s">
        <v>188</v>
      </c>
      <c r="D128" s="310"/>
      <c r="E128" s="311"/>
      <c r="F128" s="312"/>
      <c r="G128" s="311"/>
      <c r="H128" s="344"/>
      <c r="I128" s="311"/>
      <c r="J128" s="312"/>
      <c r="K128" s="311"/>
      <c r="L128" s="293"/>
    </row>
    <row r="129" spans="2:14" ht="57" hidden="1">
      <c r="B129" s="300" t="s">
        <v>640</v>
      </c>
      <c r="C129" s="308" t="s">
        <v>189</v>
      </c>
      <c r="D129" s="310"/>
      <c r="E129" s="311"/>
      <c r="F129" s="312"/>
      <c r="G129" s="311"/>
      <c r="H129" s="344"/>
      <c r="I129" s="311"/>
      <c r="J129" s="312"/>
      <c r="K129" s="311"/>
      <c r="L129" s="293"/>
    </row>
    <row r="130" spans="2:14" ht="23.25" hidden="1">
      <c r="B130" s="300" t="s">
        <v>641</v>
      </c>
      <c r="C130" s="301" t="s">
        <v>190</v>
      </c>
      <c r="D130" s="310"/>
      <c r="E130" s="311"/>
      <c r="F130" s="312"/>
      <c r="G130" s="311"/>
      <c r="H130" s="344"/>
      <c r="I130" s="311"/>
      <c r="J130" s="312"/>
      <c r="K130" s="311"/>
      <c r="L130" s="293"/>
    </row>
    <row r="131" spans="2:14" ht="15.75" thickBot="1">
      <c r="B131" s="313">
        <v>11</v>
      </c>
      <c r="C131" s="333" t="s">
        <v>111</v>
      </c>
      <c r="D131" s="334"/>
      <c r="E131" s="335"/>
      <c r="F131" s="336"/>
      <c r="G131" s="335"/>
      <c r="H131" s="345"/>
      <c r="I131" s="337"/>
      <c r="J131" s="340">
        <v>1</v>
      </c>
      <c r="K131" s="337">
        <f>'TA01 - PO compilada'!I186</f>
        <v>3366</v>
      </c>
      <c r="L131" s="286">
        <f t="shared" ref="L131" si="2">E131+G131+I131+K131</f>
        <v>3366</v>
      </c>
    </row>
    <row r="132" spans="2:14" ht="15.75" hidden="1" thickBot="1">
      <c r="B132" s="314" t="s">
        <v>112</v>
      </c>
      <c r="C132" s="332" t="s">
        <v>195</v>
      </c>
      <c r="D132" s="315"/>
      <c r="E132" s="316"/>
      <c r="F132" s="317"/>
      <c r="G132" s="316"/>
      <c r="H132" s="317"/>
      <c r="I132" s="316"/>
      <c r="J132" s="316"/>
      <c r="K132" s="316"/>
      <c r="L132" s="318"/>
    </row>
    <row r="133" spans="2:14" ht="24" hidden="1" thickBot="1">
      <c r="B133" s="319" t="s">
        <v>229</v>
      </c>
      <c r="C133" s="320" t="s">
        <v>230</v>
      </c>
      <c r="D133" s="315"/>
      <c r="E133" s="316"/>
      <c r="F133" s="317"/>
      <c r="G133" s="316"/>
      <c r="H133" s="317"/>
      <c r="I133" s="316"/>
      <c r="J133" s="316"/>
      <c r="K133" s="316"/>
      <c r="L133" s="318"/>
    </row>
    <row r="134" spans="2:14" ht="15.75" thickBot="1">
      <c r="B134" s="321"/>
      <c r="C134" s="322" t="s">
        <v>604</v>
      </c>
      <c r="D134" s="352">
        <f>E134/$L$134</f>
        <v>0.10019755462076566</v>
      </c>
      <c r="E134" s="323">
        <f>SUM(E9:E131)</f>
        <v>56294.374900000003</v>
      </c>
      <c r="F134" s="352">
        <f>G134/$L$134</f>
        <v>8.6953682267779997E-2</v>
      </c>
      <c r="G134" s="323">
        <f>SUM(G9:G131)</f>
        <v>48853.519499999995</v>
      </c>
      <c r="H134" s="352">
        <f>I134/$L$134</f>
        <v>0.47377487561473169</v>
      </c>
      <c r="I134" s="323">
        <f>SUM(I9:I131)</f>
        <v>266182.74834153603</v>
      </c>
      <c r="J134" s="352">
        <f>K134/$L$134</f>
        <v>0.33907388749672274</v>
      </c>
      <c r="K134" s="323">
        <f>SUM(K9:K131)</f>
        <v>190503.17758538402</v>
      </c>
      <c r="L134" s="412">
        <f>SUM(L9:L131)</f>
        <v>561833.82032692002</v>
      </c>
      <c r="N134" s="287"/>
    </row>
    <row r="135" spans="2:14" ht="15.75" thickBot="1">
      <c r="C135" s="324" t="s">
        <v>642</v>
      </c>
      <c r="D135" s="353">
        <f>D134</f>
        <v>0.10019755462076566</v>
      </c>
      <c r="E135" s="325">
        <f>E134</f>
        <v>56294.374900000003</v>
      </c>
      <c r="F135" s="353">
        <f t="shared" ref="F135:K135" si="3">D135+F134</f>
        <v>0.18715123688854565</v>
      </c>
      <c r="G135" s="326">
        <f t="shared" si="3"/>
        <v>105147.89439999999</v>
      </c>
      <c r="H135" s="353">
        <f t="shared" si="3"/>
        <v>0.66092611250327737</v>
      </c>
      <c r="I135" s="326">
        <f t="shared" si="3"/>
        <v>371330.64274153602</v>
      </c>
      <c r="J135" s="353">
        <f t="shared" si="3"/>
        <v>1</v>
      </c>
      <c r="K135" s="326">
        <f t="shared" si="3"/>
        <v>561833.82032692002</v>
      </c>
      <c r="L135" s="413"/>
    </row>
    <row r="139" spans="2:14">
      <c r="B139" s="4"/>
      <c r="C139" s="4"/>
      <c r="D139" s="4"/>
      <c r="E139" s="4"/>
      <c r="F139" s="4"/>
      <c r="G139" s="25"/>
      <c r="H139" s="4"/>
      <c r="I139" s="6"/>
      <c r="J139" s="6"/>
      <c r="K139" s="6"/>
      <c r="N139" s="340"/>
    </row>
  </sheetData>
  <mergeCells count="10">
    <mergeCell ref="L134:L135"/>
    <mergeCell ref="B5:L5"/>
    <mergeCell ref="J7:K7"/>
    <mergeCell ref="B6:L6"/>
    <mergeCell ref="B7:B8"/>
    <mergeCell ref="C7:C8"/>
    <mergeCell ref="D7:E7"/>
    <mergeCell ref="F7:G7"/>
    <mergeCell ref="H7:I7"/>
    <mergeCell ref="L7:L8"/>
  </mergeCells>
  <printOptions horizontalCentered="1"/>
  <pageMargins left="0.51181102362204722" right="0.51181102362204722" top="1.5748031496062993" bottom="0.78740157480314965" header="0.31496062992125984" footer="0.31496062992125984"/>
  <pageSetup paperSize="9" fitToHeight="0" orientation="landscape" r:id="rId1"/>
  <headerFooter scaleWithDoc="0">
    <oddHeader>&amp;C&amp;G</oddHeader>
  </headerFooter>
  <ignoredErrors>
    <ignoredError sqref="I20 J42" formula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57"/>
  <sheetViews>
    <sheetView topLeftCell="A130" workbookViewId="0">
      <selection activeCell="N124" sqref="N124"/>
    </sheetView>
  </sheetViews>
  <sheetFormatPr defaultRowHeight="15"/>
  <cols>
    <col min="1" max="1" width="10.28515625" customWidth="1"/>
  </cols>
  <sheetData>
    <row r="1" spans="1:7">
      <c r="A1" t="s">
        <v>477</v>
      </c>
    </row>
    <row r="2" spans="1:7">
      <c r="A2" s="429" t="s">
        <v>497</v>
      </c>
      <c r="B2" s="430"/>
      <c r="C2" s="430"/>
      <c r="D2" s="430"/>
      <c r="E2" s="430"/>
      <c r="F2" s="431"/>
    </row>
    <row r="4" spans="1:7">
      <c r="A4" s="141" t="s">
        <v>69</v>
      </c>
      <c r="B4" s="144" t="s">
        <v>48</v>
      </c>
    </row>
    <row r="6" spans="1:7">
      <c r="A6" t="s">
        <v>420</v>
      </c>
      <c r="B6" t="s">
        <v>419</v>
      </c>
      <c r="C6" t="s">
        <v>421</v>
      </c>
      <c r="D6" t="s">
        <v>423</v>
      </c>
      <c r="E6" t="s">
        <v>422</v>
      </c>
    </row>
    <row r="7" spans="1:7">
      <c r="A7" s="139">
        <v>124.19</v>
      </c>
      <c r="B7" s="139"/>
      <c r="C7" s="139">
        <v>3</v>
      </c>
      <c r="D7" s="139"/>
      <c r="E7" s="139">
        <f>A7*C7</f>
        <v>372.57</v>
      </c>
    </row>
    <row r="8" spans="1:7">
      <c r="A8" s="138">
        <v>4.5</v>
      </c>
      <c r="B8" s="138"/>
      <c r="C8" s="138">
        <v>0.7</v>
      </c>
      <c r="D8" s="138"/>
      <c r="E8" s="138">
        <f>A8*C8</f>
        <v>3.15</v>
      </c>
    </row>
    <row r="9" spans="1:7">
      <c r="A9" s="137"/>
      <c r="B9" s="137"/>
      <c r="C9" s="137"/>
      <c r="D9" s="137"/>
      <c r="E9" s="140">
        <f>E7+E8</f>
        <v>375.71999999999997</v>
      </c>
    </row>
    <row r="11" spans="1:7">
      <c r="A11" s="141" t="s">
        <v>70</v>
      </c>
      <c r="B11" s="142" t="s">
        <v>138</v>
      </c>
      <c r="C11" s="19"/>
    </row>
    <row r="13" spans="1:7">
      <c r="A13" t="s">
        <v>420</v>
      </c>
      <c r="B13" t="s">
        <v>419</v>
      </c>
      <c r="C13" t="s">
        <v>421</v>
      </c>
      <c r="D13" t="s">
        <v>423</v>
      </c>
      <c r="E13" t="s">
        <v>422</v>
      </c>
    </row>
    <row r="14" spans="1:7">
      <c r="A14" s="145">
        <v>77.28</v>
      </c>
      <c r="B14" s="145"/>
      <c r="C14" s="145">
        <v>3</v>
      </c>
      <c r="D14" s="145"/>
      <c r="E14" s="145">
        <f>A14*C14</f>
        <v>231.84</v>
      </c>
      <c r="G14">
        <f>27*3</f>
        <v>81</v>
      </c>
    </row>
    <row r="15" spans="1:7">
      <c r="E15" s="140">
        <f>E14</f>
        <v>231.84</v>
      </c>
    </row>
    <row r="17" spans="1:8">
      <c r="A17" s="141" t="s">
        <v>72</v>
      </c>
      <c r="B17" s="144" t="s">
        <v>424</v>
      </c>
      <c r="C17" s="19"/>
    </row>
    <row r="19" spans="1:8">
      <c r="A19" t="s">
        <v>425</v>
      </c>
      <c r="E19" s="140">
        <f>E9+E15</f>
        <v>607.55999999999995</v>
      </c>
    </row>
    <row r="22" spans="1:8">
      <c r="A22" s="141" t="s">
        <v>73</v>
      </c>
      <c r="B22" s="144" t="s">
        <v>391</v>
      </c>
      <c r="C22" s="141"/>
    </row>
    <row r="23" spans="1:8">
      <c r="D23" t="s">
        <v>429</v>
      </c>
      <c r="E23" t="s">
        <v>430</v>
      </c>
      <c r="F23" t="s">
        <v>431</v>
      </c>
      <c r="H23" s="96" t="s">
        <v>434</v>
      </c>
    </row>
    <row r="24" spans="1:8">
      <c r="A24" s="432" t="s">
        <v>426</v>
      </c>
      <c r="B24" t="s">
        <v>427</v>
      </c>
      <c r="C24" t="s">
        <v>428</v>
      </c>
      <c r="D24">
        <v>75</v>
      </c>
      <c r="E24">
        <v>4</v>
      </c>
      <c r="F24">
        <f>D24*E24*0.01</f>
        <v>3</v>
      </c>
      <c r="H24" s="96" t="s">
        <v>454</v>
      </c>
    </row>
    <row r="25" spans="1:8">
      <c r="A25" s="432"/>
      <c r="B25" t="s">
        <v>432</v>
      </c>
      <c r="C25" t="s">
        <v>428</v>
      </c>
      <c r="D25">
        <v>90</v>
      </c>
      <c r="E25">
        <v>2</v>
      </c>
      <c r="F25">
        <f>D25*E25*0.01</f>
        <v>1.8</v>
      </c>
      <c r="H25" s="96" t="s">
        <v>447</v>
      </c>
    </row>
    <row r="26" spans="1:8">
      <c r="A26" s="432"/>
      <c r="B26" s="428" t="s">
        <v>435</v>
      </c>
      <c r="C26" t="s">
        <v>428</v>
      </c>
      <c r="D26">
        <v>67</v>
      </c>
      <c r="E26">
        <v>1</v>
      </c>
      <c r="F26">
        <f t="shared" ref="F26:F37" si="0">D26*E26*0.01</f>
        <v>0.67</v>
      </c>
      <c r="H26" s="428" t="s">
        <v>455</v>
      </c>
    </row>
    <row r="27" spans="1:8">
      <c r="A27" s="432"/>
      <c r="B27" s="428"/>
      <c r="C27" s="428" t="s">
        <v>436</v>
      </c>
      <c r="D27">
        <v>80</v>
      </c>
      <c r="E27">
        <v>3</v>
      </c>
      <c r="F27">
        <f t="shared" si="0"/>
        <v>2.4</v>
      </c>
      <c r="H27" s="428"/>
    </row>
    <row r="28" spans="1:8">
      <c r="A28" s="432"/>
      <c r="B28" s="428"/>
      <c r="C28" s="428"/>
      <c r="D28">
        <v>116</v>
      </c>
      <c r="E28">
        <v>1</v>
      </c>
      <c r="F28">
        <f t="shared" si="0"/>
        <v>1.1599999999999999</v>
      </c>
      <c r="H28" s="428"/>
    </row>
    <row r="29" spans="1:8">
      <c r="A29" s="432"/>
      <c r="B29" t="s">
        <v>437</v>
      </c>
      <c r="C29" t="s">
        <v>438</v>
      </c>
      <c r="D29">
        <v>160</v>
      </c>
      <c r="E29">
        <v>2</v>
      </c>
      <c r="F29">
        <f t="shared" si="0"/>
        <v>3.2</v>
      </c>
      <c r="H29" s="96" t="s">
        <v>457</v>
      </c>
    </row>
    <row r="30" spans="1:8">
      <c r="A30" s="432"/>
      <c r="B30" s="428" t="s">
        <v>439</v>
      </c>
      <c r="C30" s="428" t="s">
        <v>440</v>
      </c>
      <c r="D30">
        <v>190</v>
      </c>
      <c r="E30">
        <v>1</v>
      </c>
      <c r="F30">
        <f t="shared" si="0"/>
        <v>1.9000000000000001</v>
      </c>
      <c r="H30" s="428" t="s">
        <v>456</v>
      </c>
    </row>
    <row r="31" spans="1:8">
      <c r="A31" s="432"/>
      <c r="B31" s="428"/>
      <c r="C31" s="428"/>
      <c r="D31">
        <v>80</v>
      </c>
      <c r="E31">
        <v>2</v>
      </c>
      <c r="F31">
        <f t="shared" si="0"/>
        <v>1.6</v>
      </c>
      <c r="H31" s="428"/>
    </row>
    <row r="32" spans="1:8">
      <c r="A32" s="432"/>
      <c r="B32" s="428"/>
      <c r="C32" s="428" t="s">
        <v>441</v>
      </c>
      <c r="D32">
        <v>90</v>
      </c>
      <c r="E32">
        <v>1</v>
      </c>
      <c r="F32">
        <f t="shared" si="0"/>
        <v>0.9</v>
      </c>
      <c r="H32" s="428"/>
    </row>
    <row r="33" spans="1:8">
      <c r="A33" s="432"/>
      <c r="B33" s="428"/>
      <c r="C33" s="428"/>
      <c r="D33">
        <v>80</v>
      </c>
      <c r="E33">
        <v>1</v>
      </c>
      <c r="F33">
        <f t="shared" si="0"/>
        <v>0.8</v>
      </c>
      <c r="H33" s="428"/>
    </row>
    <row r="34" spans="1:8">
      <c r="A34" s="433" t="s">
        <v>433</v>
      </c>
      <c r="B34" t="s">
        <v>443</v>
      </c>
      <c r="C34" t="s">
        <v>444</v>
      </c>
      <c r="D34">
        <v>80</v>
      </c>
      <c r="E34">
        <v>8</v>
      </c>
      <c r="F34">
        <f t="shared" si="0"/>
        <v>6.4</v>
      </c>
      <c r="H34" s="428">
        <v>2</v>
      </c>
    </row>
    <row r="35" spans="1:8">
      <c r="A35" s="433"/>
      <c r="B35" t="s">
        <v>443</v>
      </c>
      <c r="C35" t="s">
        <v>445</v>
      </c>
      <c r="D35">
        <v>76</v>
      </c>
      <c r="E35">
        <v>2</v>
      </c>
      <c r="F35">
        <f t="shared" si="0"/>
        <v>1.52</v>
      </c>
      <c r="H35" s="428"/>
    </row>
    <row r="36" spans="1:8">
      <c r="A36" s="433"/>
      <c r="B36" t="s">
        <v>446</v>
      </c>
      <c r="D36">
        <v>80</v>
      </c>
      <c r="E36">
        <v>1</v>
      </c>
      <c r="F36">
        <f t="shared" si="0"/>
        <v>0.8</v>
      </c>
      <c r="H36" s="428"/>
    </row>
    <row r="37" spans="1:8">
      <c r="A37" s="146" t="s">
        <v>451</v>
      </c>
      <c r="B37" t="s">
        <v>452</v>
      </c>
      <c r="C37" t="s">
        <v>453</v>
      </c>
      <c r="D37">
        <v>160</v>
      </c>
      <c r="E37">
        <v>2</v>
      </c>
      <c r="F37">
        <f t="shared" si="0"/>
        <v>3.2</v>
      </c>
      <c r="H37" s="96">
        <v>4</v>
      </c>
    </row>
    <row r="38" spans="1:8">
      <c r="A38" t="s">
        <v>448</v>
      </c>
      <c r="B38" t="s">
        <v>449</v>
      </c>
      <c r="D38">
        <v>160</v>
      </c>
      <c r="E38">
        <v>2</v>
      </c>
      <c r="F38">
        <f>D38*E38*0.01</f>
        <v>3.2</v>
      </c>
      <c r="H38" s="96">
        <v>3</v>
      </c>
    </row>
    <row r="39" spans="1:8">
      <c r="A39" t="s">
        <v>450</v>
      </c>
      <c r="B39" t="s">
        <v>453</v>
      </c>
      <c r="D39">
        <v>80</v>
      </c>
      <c r="E39">
        <v>1</v>
      </c>
      <c r="F39">
        <f>D39*E39*0.01</f>
        <v>0.8</v>
      </c>
      <c r="H39" s="96">
        <v>1</v>
      </c>
    </row>
    <row r="40" spans="1:8">
      <c r="A40" t="s">
        <v>459</v>
      </c>
      <c r="B40" t="s">
        <v>458</v>
      </c>
      <c r="C40" t="s">
        <v>461</v>
      </c>
      <c r="D40">
        <v>200</v>
      </c>
      <c r="E40">
        <v>2</v>
      </c>
      <c r="F40">
        <f>D40*E40*0.01</f>
        <v>4</v>
      </c>
    </row>
    <row r="41" spans="1:8">
      <c r="A41" t="s">
        <v>460</v>
      </c>
      <c r="D41">
        <v>100</v>
      </c>
      <c r="E41">
        <v>4</v>
      </c>
      <c r="F41">
        <f>D41*E41*0.01</f>
        <v>4</v>
      </c>
    </row>
    <row r="42" spans="1:8">
      <c r="F42" s="143">
        <f>SUM(F24:F41)</f>
        <v>41.349999999999994</v>
      </c>
    </row>
    <row r="44" spans="1:8">
      <c r="A44" s="147" t="s">
        <v>241</v>
      </c>
      <c r="B44" s="148" t="s">
        <v>389</v>
      </c>
      <c r="C44" s="141"/>
    </row>
    <row r="45" spans="1:8">
      <c r="C45" t="s">
        <v>466</v>
      </c>
      <c r="D45" t="s">
        <v>467</v>
      </c>
      <c r="E45" t="s">
        <v>468</v>
      </c>
      <c r="F45" t="s">
        <v>430</v>
      </c>
      <c r="G45" t="s">
        <v>422</v>
      </c>
    </row>
    <row r="46" spans="1:8">
      <c r="A46" t="s">
        <v>463</v>
      </c>
      <c r="C46">
        <v>1.4</v>
      </c>
      <c r="D46">
        <v>1.8</v>
      </c>
      <c r="E46">
        <f>1.08*0.2</f>
        <v>0.21600000000000003</v>
      </c>
      <c r="F46">
        <v>4</v>
      </c>
      <c r="G46">
        <f>((C46*D46)-E46)*F46</f>
        <v>9.2159999999999993</v>
      </c>
    </row>
    <row r="47" spans="1:8">
      <c r="A47" t="s">
        <v>462</v>
      </c>
      <c r="C47">
        <v>1.4</v>
      </c>
      <c r="D47">
        <v>1.8</v>
      </c>
      <c r="F47">
        <v>2</v>
      </c>
      <c r="G47">
        <f>((C47*D47)-E47)*F47</f>
        <v>5.04</v>
      </c>
    </row>
    <row r="48" spans="1:8">
      <c r="A48" t="s">
        <v>464</v>
      </c>
      <c r="C48">
        <v>2.8</v>
      </c>
      <c r="D48">
        <v>1.8</v>
      </c>
      <c r="E48">
        <f>3*0.6*1.8</f>
        <v>3.2399999999999998</v>
      </c>
      <c r="F48">
        <v>2</v>
      </c>
      <c r="G48">
        <f>((C48*D48)-E48)*F48</f>
        <v>3.6000000000000005</v>
      </c>
    </row>
    <row r="49" spans="1:7">
      <c r="G49" s="143">
        <f>SUM(G46:G48)</f>
        <v>17.856000000000002</v>
      </c>
    </row>
    <row r="51" spans="1:7">
      <c r="A51" s="141" t="s">
        <v>75</v>
      </c>
      <c r="B51" s="144" t="s">
        <v>393</v>
      </c>
      <c r="C51" s="141"/>
    </row>
    <row r="52" spans="1:7">
      <c r="C52" t="s">
        <v>422</v>
      </c>
    </row>
    <row r="53" spans="1:7">
      <c r="A53" t="s">
        <v>484</v>
      </c>
      <c r="C53">
        <v>16.21</v>
      </c>
    </row>
    <row r="54" spans="1:7">
      <c r="A54" t="s">
        <v>469</v>
      </c>
      <c r="C54">
        <f>6.25*4</f>
        <v>25</v>
      </c>
    </row>
    <row r="55" spans="1:7">
      <c r="A55" t="s">
        <v>470</v>
      </c>
      <c r="C55">
        <f>3.25*4</f>
        <v>13</v>
      </c>
    </row>
    <row r="56" spans="1:7">
      <c r="A56" t="s">
        <v>471</v>
      </c>
      <c r="C56">
        <v>8</v>
      </c>
      <c r="G56">
        <v>81.98</v>
      </c>
    </row>
    <row r="57" spans="1:7">
      <c r="A57" t="s">
        <v>472</v>
      </c>
      <c r="C57">
        <v>11.69</v>
      </c>
      <c r="G57">
        <v>3.23</v>
      </c>
    </row>
    <row r="58" spans="1:7">
      <c r="A58" t="s">
        <v>473</v>
      </c>
      <c r="C58">
        <f>13.43*2</f>
        <v>26.86</v>
      </c>
      <c r="G58">
        <v>39.35</v>
      </c>
    </row>
    <row r="59" spans="1:7">
      <c r="A59" t="s">
        <v>474</v>
      </c>
      <c r="C59">
        <v>1.68</v>
      </c>
      <c r="G59">
        <f>G56+G57+G58</f>
        <v>124.56</v>
      </c>
    </row>
    <row r="60" spans="1:7">
      <c r="A60" t="s">
        <v>475</v>
      </c>
      <c r="C60">
        <f>1.6*3</f>
        <v>4.8000000000000007</v>
      </c>
    </row>
    <row r="61" spans="1:7">
      <c r="A61" t="s">
        <v>476</v>
      </c>
      <c r="C61">
        <v>0.72</v>
      </c>
    </row>
    <row r="62" spans="1:7">
      <c r="C62" s="143">
        <f>SUM(C53:C61)</f>
        <v>107.96000000000001</v>
      </c>
    </row>
    <row r="64" spans="1:7">
      <c r="A64" s="141" t="s">
        <v>76</v>
      </c>
      <c r="B64" s="144" t="s">
        <v>308</v>
      </c>
      <c r="C64" s="141"/>
    </row>
    <row r="66" spans="1:5">
      <c r="A66" s="149" t="s">
        <v>478</v>
      </c>
      <c r="B66" s="149">
        <v>354</v>
      </c>
    </row>
    <row r="67" spans="1:5">
      <c r="A67" t="s">
        <v>465</v>
      </c>
      <c r="B67" s="96">
        <v>0.8</v>
      </c>
      <c r="C67" s="96" t="s">
        <v>419</v>
      </c>
      <c r="D67" s="96">
        <v>14</v>
      </c>
      <c r="E67">
        <f>B67*D67</f>
        <v>11.200000000000001</v>
      </c>
    </row>
    <row r="68" spans="1:5">
      <c r="B68" s="96">
        <v>1.4</v>
      </c>
      <c r="C68" s="96" t="s">
        <v>419</v>
      </c>
      <c r="D68" s="96">
        <v>3</v>
      </c>
      <c r="E68">
        <f>B68*D68</f>
        <v>4.1999999999999993</v>
      </c>
    </row>
    <row r="69" spans="1:5">
      <c r="B69" s="96">
        <v>1.6</v>
      </c>
      <c r="C69" s="96" t="s">
        <v>419</v>
      </c>
      <c r="D69" s="96">
        <v>2</v>
      </c>
      <c r="E69">
        <f>B69*D69</f>
        <v>3.2</v>
      </c>
    </row>
    <row r="70" spans="1:5">
      <c r="C70" s="96"/>
      <c r="E70">
        <f>E67+E68+E69</f>
        <v>18.600000000000001</v>
      </c>
    </row>
    <row r="71" spans="1:5">
      <c r="A71" t="s">
        <v>479</v>
      </c>
      <c r="B71" s="143">
        <f>B66-E70</f>
        <v>335.4</v>
      </c>
      <c r="C71" s="96"/>
    </row>
    <row r="74" spans="1:5">
      <c r="A74" s="141" t="s">
        <v>77</v>
      </c>
      <c r="B74" s="144" t="s">
        <v>394</v>
      </c>
      <c r="C74" s="141"/>
    </row>
    <row r="75" spans="1:5">
      <c r="A75" s="141"/>
      <c r="B75" s="144"/>
      <c r="C75" s="141"/>
    </row>
    <row r="76" spans="1:5">
      <c r="C76" t="s">
        <v>420</v>
      </c>
    </row>
    <row r="77" spans="1:5">
      <c r="A77" t="s">
        <v>481</v>
      </c>
      <c r="B77" t="s">
        <v>482</v>
      </c>
      <c r="C77">
        <v>0.9</v>
      </c>
    </row>
    <row r="78" spans="1:5">
      <c r="B78" t="s">
        <v>483</v>
      </c>
      <c r="C78">
        <v>1.7</v>
      </c>
    </row>
    <row r="79" spans="1:5">
      <c r="C79" s="143">
        <f>C77+C77+C78</f>
        <v>3.5</v>
      </c>
    </row>
    <row r="81" spans="1:3">
      <c r="A81" s="147" t="s">
        <v>327</v>
      </c>
      <c r="B81" s="148" t="s">
        <v>489</v>
      </c>
      <c r="C81" s="141"/>
    </row>
    <row r="83" spans="1:3">
      <c r="C83" t="s">
        <v>420</v>
      </c>
    </row>
    <row r="84" spans="1:3">
      <c r="A84" t="s">
        <v>484</v>
      </c>
      <c r="C84">
        <v>0.9</v>
      </c>
    </row>
    <row r="85" spans="1:3">
      <c r="A85" t="s">
        <v>469</v>
      </c>
      <c r="C85">
        <v>0.9</v>
      </c>
    </row>
    <row r="86" spans="1:3">
      <c r="A86" t="s">
        <v>470</v>
      </c>
      <c r="C86">
        <v>0.9</v>
      </c>
    </row>
    <row r="87" spans="1:3">
      <c r="A87" t="s">
        <v>471</v>
      </c>
      <c r="C87">
        <v>0.9</v>
      </c>
    </row>
    <row r="88" spans="1:3">
      <c r="A88" t="s">
        <v>472</v>
      </c>
      <c r="C88">
        <v>0.8</v>
      </c>
    </row>
    <row r="89" spans="1:3">
      <c r="A89" t="s">
        <v>473</v>
      </c>
      <c r="C89">
        <v>1.6</v>
      </c>
    </row>
    <row r="90" spans="1:3">
      <c r="C90" s="143">
        <f>SUM(C84:C89)</f>
        <v>6</v>
      </c>
    </row>
    <row r="92" spans="1:3">
      <c r="A92" s="147" t="s">
        <v>392</v>
      </c>
      <c r="B92" s="148" t="s">
        <v>491</v>
      </c>
    </row>
    <row r="93" spans="1:3">
      <c r="A93" s="147"/>
      <c r="B93" s="148"/>
    </row>
    <row r="94" spans="1:3">
      <c r="A94" s="147"/>
      <c r="B94" s="148"/>
      <c r="C94" t="s">
        <v>420</v>
      </c>
    </row>
    <row r="95" spans="1:3">
      <c r="A95" t="s">
        <v>480</v>
      </c>
      <c r="C95">
        <v>0.8</v>
      </c>
    </row>
    <row r="96" spans="1:3">
      <c r="A96" t="s">
        <v>490</v>
      </c>
      <c r="C96">
        <v>4.5</v>
      </c>
    </row>
    <row r="97" spans="1:6">
      <c r="C97" s="143">
        <f>SUM(C95:C96)</f>
        <v>5.3</v>
      </c>
    </row>
    <row r="99" spans="1:6">
      <c r="A99" s="147" t="s">
        <v>395</v>
      </c>
      <c r="B99" s="148" t="s">
        <v>396</v>
      </c>
      <c r="C99" s="147"/>
    </row>
    <row r="101" spans="1:6">
      <c r="A101" t="s">
        <v>492</v>
      </c>
      <c r="C101">
        <f>0.9*1.65</f>
        <v>1.4849999999999999</v>
      </c>
    </row>
    <row r="102" spans="1:6">
      <c r="A102" t="s">
        <v>493</v>
      </c>
      <c r="C102">
        <f>0.9*(1.4-0.12)*2</f>
        <v>2.3039999999999998</v>
      </c>
    </row>
    <row r="103" spans="1:6">
      <c r="C103" s="143">
        <f>SUM(C101:C102)</f>
        <v>3.7889999999999997</v>
      </c>
    </row>
    <row r="105" spans="1:6">
      <c r="A105" s="147" t="s">
        <v>487</v>
      </c>
      <c r="B105" s="150" t="s">
        <v>397</v>
      </c>
      <c r="C105" s="147"/>
    </row>
    <row r="107" spans="1:6">
      <c r="A107" t="s">
        <v>494</v>
      </c>
      <c r="F107">
        <v>484.14</v>
      </c>
    </row>
    <row r="108" spans="1:6">
      <c r="A108" t="s">
        <v>495</v>
      </c>
      <c r="F108">
        <v>133</v>
      </c>
    </row>
    <row r="109" spans="1:6">
      <c r="A109" t="s">
        <v>496</v>
      </c>
      <c r="F109" s="143">
        <f>F107-F108</f>
        <v>351.14</v>
      </c>
    </row>
    <row r="111" spans="1:6">
      <c r="A111" s="141" t="s">
        <v>245</v>
      </c>
      <c r="B111" s="144" t="s">
        <v>486</v>
      </c>
      <c r="C111" s="141"/>
    </row>
    <row r="113" spans="1:8">
      <c r="A113" t="s">
        <v>458</v>
      </c>
      <c r="C113">
        <v>2.75</v>
      </c>
      <c r="E113" t="s">
        <v>501</v>
      </c>
      <c r="G113">
        <f>0.4*0.9*2</f>
        <v>0.72000000000000008</v>
      </c>
    </row>
    <row r="114" spans="1:8">
      <c r="A114" t="s">
        <v>500</v>
      </c>
      <c r="C114">
        <f>(2.9+0.7+3.1)*0.04</f>
        <v>0.26799999999999996</v>
      </c>
    </row>
    <row r="115" spans="1:8">
      <c r="C115">
        <f>C113+C114</f>
        <v>3.0179999999999998</v>
      </c>
      <c r="H115" s="143">
        <f>G113+C115</f>
        <v>3.738</v>
      </c>
    </row>
    <row r="118" spans="1:8">
      <c r="A118" s="141" t="s">
        <v>311</v>
      </c>
      <c r="B118" s="144" t="s">
        <v>325</v>
      </c>
      <c r="C118" s="141"/>
    </row>
    <row r="119" spans="1:8">
      <c r="A119" s="141"/>
      <c r="B119" s="144"/>
      <c r="C119" s="141"/>
    </row>
    <row r="120" spans="1:8">
      <c r="C120" t="s">
        <v>420</v>
      </c>
      <c r="D120" t="s">
        <v>467</v>
      </c>
      <c r="E120" t="s">
        <v>503</v>
      </c>
    </row>
    <row r="121" spans="1:8">
      <c r="A121" t="s">
        <v>502</v>
      </c>
      <c r="C121">
        <f>153.84-1.6</f>
        <v>152.24</v>
      </c>
      <c r="D121">
        <v>3</v>
      </c>
      <c r="E121">
        <f t="shared" ref="E121:E127" si="1">3*C121</f>
        <v>456.72</v>
      </c>
      <c r="F121" s="428">
        <f>SUM(E121:E122)</f>
        <v>528.18000000000006</v>
      </c>
    </row>
    <row r="122" spans="1:8">
      <c r="A122" t="s">
        <v>504</v>
      </c>
      <c r="C122">
        <f>(1.6*5)+1.7+(0.8*14)+1.4+(2*0.76)</f>
        <v>23.819999999999997</v>
      </c>
      <c r="D122">
        <v>1.4</v>
      </c>
      <c r="E122">
        <f t="shared" si="1"/>
        <v>71.459999999999994</v>
      </c>
      <c r="F122" s="428"/>
    </row>
    <row r="123" spans="1:8">
      <c r="A123" s="432" t="s">
        <v>505</v>
      </c>
      <c r="C123">
        <f>(0.9*6)+(0.8*8)+(0.7*3)</f>
        <v>13.9</v>
      </c>
      <c r="D123">
        <v>2.1</v>
      </c>
      <c r="E123">
        <f t="shared" si="1"/>
        <v>41.7</v>
      </c>
      <c r="F123" s="428">
        <f>SUM(E123:E127)</f>
        <v>96.899999999999991</v>
      </c>
    </row>
    <row r="124" spans="1:8">
      <c r="A124" s="432"/>
      <c r="C124">
        <f>(0.8*8)+(1*5)</f>
        <v>11.4</v>
      </c>
      <c r="D124">
        <v>0.8</v>
      </c>
      <c r="E124">
        <f t="shared" si="1"/>
        <v>34.200000000000003</v>
      </c>
      <c r="F124" s="428"/>
    </row>
    <row r="125" spans="1:8">
      <c r="A125" s="432"/>
      <c r="C125">
        <f>(1.4*3)</f>
        <v>4.1999999999999993</v>
      </c>
      <c r="D125">
        <v>1.2</v>
      </c>
      <c r="E125">
        <f t="shared" si="1"/>
        <v>12.599999999999998</v>
      </c>
      <c r="F125" s="428"/>
    </row>
    <row r="126" spans="1:8">
      <c r="A126" s="432"/>
      <c r="C126">
        <v>1.2</v>
      </c>
      <c r="D126">
        <v>1.7</v>
      </c>
      <c r="E126">
        <f t="shared" si="1"/>
        <v>3.5999999999999996</v>
      </c>
      <c r="F126" s="428"/>
    </row>
    <row r="127" spans="1:8">
      <c r="A127" s="432"/>
      <c r="C127">
        <v>1.6</v>
      </c>
      <c r="D127">
        <v>0.6</v>
      </c>
      <c r="E127">
        <f t="shared" si="1"/>
        <v>4.8000000000000007</v>
      </c>
      <c r="F127" s="428"/>
    </row>
    <row r="128" spans="1:8">
      <c r="F128" s="143">
        <f>F121-F123</f>
        <v>431.28000000000009</v>
      </c>
    </row>
    <row r="130" spans="1:6">
      <c r="A130" s="141"/>
      <c r="B130" s="144"/>
      <c r="C130" s="141"/>
    </row>
    <row r="132" spans="1:6">
      <c r="A132" t="s">
        <v>539</v>
      </c>
      <c r="B132">
        <v>1</v>
      </c>
      <c r="C132">
        <v>6.18</v>
      </c>
      <c r="D132" t="s">
        <v>526</v>
      </c>
      <c r="F132">
        <f>B132*C132</f>
        <v>6.18</v>
      </c>
    </row>
    <row r="133" spans="1:6">
      <c r="B133">
        <v>2</v>
      </c>
      <c r="C133">
        <f>7.64+2</f>
        <v>9.64</v>
      </c>
      <c r="D133" t="s">
        <v>527</v>
      </c>
      <c r="F133">
        <f t="shared" ref="F133:F156" si="2">B133*C133</f>
        <v>19.28</v>
      </c>
    </row>
    <row r="134" spans="1:6">
      <c r="B134">
        <v>2</v>
      </c>
      <c r="C134">
        <f>11.67+2</f>
        <v>13.67</v>
      </c>
      <c r="D134" t="s">
        <v>528</v>
      </c>
      <c r="F134">
        <f t="shared" si="2"/>
        <v>27.34</v>
      </c>
    </row>
    <row r="135" spans="1:6">
      <c r="B135">
        <v>2</v>
      </c>
      <c r="C135">
        <f>11.67+2</f>
        <v>13.67</v>
      </c>
      <c r="D135" t="s">
        <v>529</v>
      </c>
      <c r="F135">
        <f t="shared" si="2"/>
        <v>27.34</v>
      </c>
    </row>
    <row r="136" spans="1:6">
      <c r="B136">
        <v>2</v>
      </c>
      <c r="C136">
        <f>6.9+2</f>
        <v>8.9</v>
      </c>
      <c r="D136" t="s">
        <v>530</v>
      </c>
      <c r="F136">
        <f t="shared" si="2"/>
        <v>17.8</v>
      </c>
    </row>
    <row r="137" spans="1:6">
      <c r="B137">
        <v>2</v>
      </c>
      <c r="C137">
        <f>6.9+2</f>
        <v>8.9</v>
      </c>
      <c r="D137" t="s">
        <v>531</v>
      </c>
      <c r="F137">
        <f t="shared" si="2"/>
        <v>17.8</v>
      </c>
    </row>
    <row r="138" spans="1:6">
      <c r="B138">
        <v>2</v>
      </c>
      <c r="C138">
        <v>4</v>
      </c>
      <c r="D138" t="s">
        <v>532</v>
      </c>
      <c r="F138">
        <f t="shared" si="2"/>
        <v>8</v>
      </c>
    </row>
    <row r="139" spans="1:6">
      <c r="B139">
        <v>2</v>
      </c>
      <c r="C139">
        <v>2</v>
      </c>
      <c r="D139" t="s">
        <v>533</v>
      </c>
      <c r="F139">
        <f t="shared" si="2"/>
        <v>4</v>
      </c>
    </row>
    <row r="140" spans="1:6">
      <c r="B140">
        <v>3</v>
      </c>
      <c r="C140">
        <f>5.11+2</f>
        <v>7.11</v>
      </c>
      <c r="D140" t="s">
        <v>328</v>
      </c>
      <c r="F140">
        <f t="shared" si="2"/>
        <v>21.330000000000002</v>
      </c>
    </row>
    <row r="141" spans="1:6">
      <c r="B141">
        <v>2</v>
      </c>
      <c r="C141">
        <f>3.62+2</f>
        <v>5.62</v>
      </c>
      <c r="D141" t="s">
        <v>459</v>
      </c>
      <c r="F141">
        <f t="shared" si="2"/>
        <v>11.24</v>
      </c>
    </row>
    <row r="142" spans="1:6">
      <c r="B142">
        <v>2</v>
      </c>
      <c r="C142">
        <v>18.12</v>
      </c>
      <c r="D142" t="s">
        <v>534</v>
      </c>
      <c r="F142">
        <f t="shared" si="2"/>
        <v>36.24</v>
      </c>
    </row>
    <row r="143" spans="1:6">
      <c r="B143">
        <v>2</v>
      </c>
      <c r="C143">
        <v>18.12</v>
      </c>
      <c r="D143" t="s">
        <v>535</v>
      </c>
      <c r="F143">
        <f t="shared" si="2"/>
        <v>36.24</v>
      </c>
    </row>
    <row r="144" spans="1:6">
      <c r="B144">
        <v>2</v>
      </c>
      <c r="C144">
        <v>23</v>
      </c>
      <c r="D144" t="s">
        <v>536</v>
      </c>
      <c r="F144">
        <f t="shared" si="2"/>
        <v>46</v>
      </c>
    </row>
    <row r="145" spans="2:6">
      <c r="B145">
        <v>2</v>
      </c>
      <c r="C145">
        <v>27.5</v>
      </c>
      <c r="D145" t="s">
        <v>537</v>
      </c>
      <c r="F145">
        <f t="shared" si="2"/>
        <v>55</v>
      </c>
    </row>
    <row r="146" spans="2:6">
      <c r="B146">
        <v>1</v>
      </c>
      <c r="C146">
        <v>28</v>
      </c>
      <c r="D146" t="s">
        <v>538</v>
      </c>
      <c r="F146">
        <f t="shared" si="2"/>
        <v>28</v>
      </c>
    </row>
    <row r="147" spans="2:6">
      <c r="B147">
        <v>2</v>
      </c>
      <c r="C147">
        <v>33</v>
      </c>
      <c r="D147" t="s">
        <v>540</v>
      </c>
      <c r="F147">
        <f t="shared" si="2"/>
        <v>66</v>
      </c>
    </row>
    <row r="148" spans="2:6">
      <c r="B148">
        <v>2</v>
      </c>
      <c r="C148">
        <v>20</v>
      </c>
      <c r="D148" t="s">
        <v>541</v>
      </c>
      <c r="F148">
        <f t="shared" si="2"/>
        <v>40</v>
      </c>
    </row>
    <row r="149" spans="2:6">
      <c r="B149">
        <v>2</v>
      </c>
      <c r="C149">
        <v>19</v>
      </c>
      <c r="D149" t="s">
        <v>542</v>
      </c>
      <c r="F149">
        <f t="shared" si="2"/>
        <v>38</v>
      </c>
    </row>
    <row r="150" spans="2:6">
      <c r="B150">
        <v>2</v>
      </c>
      <c r="C150">
        <v>22.5</v>
      </c>
      <c r="D150" t="s">
        <v>543</v>
      </c>
      <c r="F150">
        <f t="shared" si="2"/>
        <v>45</v>
      </c>
    </row>
    <row r="151" spans="2:6">
      <c r="B151">
        <v>2</v>
      </c>
      <c r="C151">
        <v>30</v>
      </c>
      <c r="D151" t="s">
        <v>544</v>
      </c>
      <c r="F151">
        <f t="shared" si="2"/>
        <v>60</v>
      </c>
    </row>
    <row r="152" spans="2:6">
      <c r="B152">
        <v>1</v>
      </c>
      <c r="C152">
        <v>30.5</v>
      </c>
      <c r="D152" t="s">
        <v>545</v>
      </c>
      <c r="F152">
        <f t="shared" si="2"/>
        <v>30.5</v>
      </c>
    </row>
    <row r="153" spans="2:6">
      <c r="B153">
        <v>1</v>
      </c>
      <c r="C153">
        <v>32.5</v>
      </c>
      <c r="D153" t="s">
        <v>546</v>
      </c>
      <c r="F153">
        <f t="shared" si="2"/>
        <v>32.5</v>
      </c>
    </row>
    <row r="154" spans="2:6">
      <c r="B154">
        <v>3</v>
      </c>
      <c r="C154">
        <v>40</v>
      </c>
      <c r="D154" t="s">
        <v>547</v>
      </c>
      <c r="F154">
        <f t="shared" si="2"/>
        <v>120</v>
      </c>
    </row>
    <row r="155" spans="2:6">
      <c r="B155">
        <v>3</v>
      </c>
      <c r="C155">
        <v>40</v>
      </c>
      <c r="D155" t="s">
        <v>548</v>
      </c>
      <c r="F155">
        <f t="shared" si="2"/>
        <v>120</v>
      </c>
    </row>
    <row r="156" spans="2:6">
      <c r="B156">
        <v>3</v>
      </c>
      <c r="C156">
        <v>43.5</v>
      </c>
      <c r="D156" t="s">
        <v>548</v>
      </c>
      <c r="F156">
        <f t="shared" si="2"/>
        <v>130.5</v>
      </c>
    </row>
    <row r="157" spans="2:6">
      <c r="F157" s="143">
        <f>SUM(F132:F156)</f>
        <v>1044.29</v>
      </c>
    </row>
  </sheetData>
  <mergeCells count="14">
    <mergeCell ref="A2:F2"/>
    <mergeCell ref="A123:A127"/>
    <mergeCell ref="F121:F122"/>
    <mergeCell ref="F123:F127"/>
    <mergeCell ref="A24:A33"/>
    <mergeCell ref="A34:A36"/>
    <mergeCell ref="H34:H36"/>
    <mergeCell ref="B26:B28"/>
    <mergeCell ref="C27:C28"/>
    <mergeCell ref="B30:B33"/>
    <mergeCell ref="C30:C31"/>
    <mergeCell ref="C32:C33"/>
    <mergeCell ref="H26:H28"/>
    <mergeCell ref="H30:H3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O162"/>
  <sheetViews>
    <sheetView workbookViewId="0">
      <selection activeCell="D11" sqref="D11"/>
    </sheetView>
  </sheetViews>
  <sheetFormatPr defaultColWidth="14.42578125" defaultRowHeight="15.75" customHeight="1"/>
  <cols>
    <col min="1" max="1" width="7.85546875" style="3" customWidth="1"/>
    <col min="2" max="2" width="12.28515625" style="3" hidden="1" customWidth="1"/>
    <col min="3" max="3" width="9.85546875" style="3" hidden="1" customWidth="1"/>
    <col min="4" max="4" width="55.28515625" style="3" customWidth="1"/>
    <col min="5" max="5" width="10.7109375" style="3" customWidth="1"/>
    <col min="6" max="6" width="10.7109375" style="3" hidden="1" customWidth="1"/>
    <col min="7" max="11" width="10.7109375" style="3" customWidth="1"/>
    <col min="12" max="12" width="9.42578125" style="3" customWidth="1"/>
    <col min="13" max="13" width="10.7109375" style="7" customWidth="1"/>
    <col min="14" max="14" width="10.7109375" style="3" customWidth="1"/>
    <col min="15" max="15" width="9.42578125" style="3" customWidth="1"/>
    <col min="16" max="16384" width="14.42578125" style="3"/>
  </cols>
  <sheetData>
    <row r="1" spans="1:15" ht="15" customHeight="1">
      <c r="A1" s="21" t="s">
        <v>329</v>
      </c>
      <c r="B1" s="28"/>
      <c r="C1" s="29"/>
      <c r="D1" s="28"/>
      <c r="E1" s="27" t="s">
        <v>330</v>
      </c>
      <c r="F1" s="28"/>
      <c r="G1" s="28"/>
      <c r="H1" s="28"/>
      <c r="I1" s="28"/>
      <c r="J1" s="27" t="s">
        <v>333</v>
      </c>
      <c r="K1" s="27" t="s">
        <v>341</v>
      </c>
      <c r="L1" s="28"/>
      <c r="M1" s="27" t="s">
        <v>339</v>
      </c>
      <c r="N1" s="27" t="s">
        <v>332</v>
      </c>
      <c r="O1" s="29"/>
    </row>
    <row r="2" spans="1:15" ht="15" customHeight="1">
      <c r="A2" s="22" t="s">
        <v>340</v>
      </c>
      <c r="B2" s="30"/>
      <c r="C2" s="31"/>
      <c r="D2" s="60"/>
      <c r="E2" s="59" t="s">
        <v>331</v>
      </c>
      <c r="F2" s="60"/>
      <c r="G2" s="60"/>
      <c r="H2" s="60"/>
      <c r="I2" s="60"/>
      <c r="J2" s="62">
        <f>[2]BDI!F25</f>
        <v>0.21199999999999999</v>
      </c>
      <c r="K2" s="434" t="s">
        <v>342</v>
      </c>
      <c r="L2" s="435"/>
      <c r="M2" s="63" t="s">
        <v>345</v>
      </c>
      <c r="N2" s="434" t="s">
        <v>343</v>
      </c>
      <c r="O2" s="435"/>
    </row>
    <row r="3" spans="1:15" ht="5.25" customHeight="1">
      <c r="A3" s="61"/>
      <c r="B3" s="61"/>
      <c r="C3" s="61"/>
      <c r="D3" s="4"/>
      <c r="E3" s="4"/>
      <c r="F3" s="4"/>
      <c r="G3" s="4"/>
      <c r="H3" s="4"/>
      <c r="I3" s="4"/>
      <c r="J3" s="4"/>
      <c r="K3" s="25"/>
      <c r="L3" s="4"/>
      <c r="M3" s="6"/>
      <c r="N3" s="4"/>
      <c r="O3" s="4"/>
    </row>
    <row r="4" spans="1:15" s="5" customFormat="1" ht="24" customHeight="1">
      <c r="A4" s="380" t="s">
        <v>3</v>
      </c>
      <c r="B4" s="380" t="s">
        <v>4</v>
      </c>
      <c r="C4" s="380" t="s">
        <v>5</v>
      </c>
      <c r="D4" s="380" t="s">
        <v>6</v>
      </c>
      <c r="E4" s="380" t="s">
        <v>2</v>
      </c>
      <c r="F4" s="382" t="s">
        <v>7</v>
      </c>
      <c r="G4" s="384" t="s">
        <v>335</v>
      </c>
      <c r="H4" s="385"/>
      <c r="I4" s="386"/>
      <c r="J4" s="440" t="s">
        <v>336</v>
      </c>
      <c r="K4" s="440"/>
      <c r="L4" s="440"/>
      <c r="M4" s="440" t="s">
        <v>337</v>
      </c>
      <c r="N4" s="440"/>
      <c r="O4" s="440"/>
    </row>
    <row r="5" spans="1:15" s="5" customFormat="1" ht="22.5">
      <c r="A5" s="381"/>
      <c r="B5" s="381"/>
      <c r="C5" s="381"/>
      <c r="D5" s="381"/>
      <c r="E5" s="381"/>
      <c r="F5" s="383"/>
      <c r="G5" s="93" t="s">
        <v>346</v>
      </c>
      <c r="H5" s="64" t="s">
        <v>334</v>
      </c>
      <c r="I5" s="65" t="s">
        <v>135</v>
      </c>
      <c r="J5" s="66" t="s">
        <v>334</v>
      </c>
      <c r="K5" s="67" t="s">
        <v>135</v>
      </c>
      <c r="L5" s="68" t="s">
        <v>338</v>
      </c>
      <c r="M5" s="66" t="s">
        <v>334</v>
      </c>
      <c r="N5" s="67" t="s">
        <v>135</v>
      </c>
      <c r="O5" s="68" t="s">
        <v>338</v>
      </c>
    </row>
    <row r="6" spans="1:15" s="5" customFormat="1" ht="12.75">
      <c r="A6" s="33">
        <v>1</v>
      </c>
      <c r="B6" s="33"/>
      <c r="C6" s="33"/>
      <c r="D6" s="33" t="s">
        <v>15</v>
      </c>
      <c r="E6" s="79"/>
      <c r="F6" s="80"/>
      <c r="G6" s="81"/>
      <c r="H6" s="80"/>
      <c r="I6" s="82">
        <f>I7</f>
        <v>47988.6</v>
      </c>
      <c r="J6" s="80"/>
      <c r="K6" s="83">
        <f>K9+K8</f>
        <v>7271</v>
      </c>
      <c r="L6" s="84">
        <f t="shared" ref="L6:L15" si="0">K6/I6</f>
        <v>0.15151515151515152</v>
      </c>
      <c r="M6" s="85"/>
      <c r="N6" s="83">
        <f>N9+N8</f>
        <v>7271</v>
      </c>
      <c r="O6" s="86">
        <f t="shared" ref="O6:O15" si="1">N6/I6</f>
        <v>0.15151515151515152</v>
      </c>
    </row>
    <row r="7" spans="1:15" s="5" customFormat="1" ht="12.75">
      <c r="A7" s="35" t="s">
        <v>23</v>
      </c>
      <c r="B7" s="36"/>
      <c r="C7" s="37"/>
      <c r="D7" s="38" t="s">
        <v>235</v>
      </c>
      <c r="E7" s="32"/>
      <c r="F7" s="9"/>
      <c r="G7" s="11"/>
      <c r="H7" s="8"/>
      <c r="I7" s="87">
        <f>SUM(I8:I9)</f>
        <v>47988.6</v>
      </c>
      <c r="J7" s="8"/>
      <c r="K7" s="88">
        <f>K8+K9</f>
        <v>7271</v>
      </c>
      <c r="L7" s="89">
        <f t="shared" si="0"/>
        <v>0.15151515151515152</v>
      </c>
      <c r="M7" s="8"/>
      <c r="N7" s="88">
        <f>N8+N9</f>
        <v>7271</v>
      </c>
      <c r="O7" s="90">
        <f t="shared" si="1"/>
        <v>0.15151515151515152</v>
      </c>
    </row>
    <row r="8" spans="1:15" s="5" customFormat="1" ht="12.75">
      <c r="A8" s="41" t="s">
        <v>233</v>
      </c>
      <c r="B8" s="42" t="s">
        <v>0</v>
      </c>
      <c r="C8" s="43">
        <v>90778</v>
      </c>
      <c r="D8" s="44" t="s">
        <v>231</v>
      </c>
      <c r="E8" s="43" t="s">
        <v>10</v>
      </c>
      <c r="F8" s="45">
        <v>99.6</v>
      </c>
      <c r="G8" s="46">
        <v>110.03</v>
      </c>
      <c r="H8" s="47">
        <f>2*22*3</f>
        <v>132</v>
      </c>
      <c r="I8" s="48">
        <f>G8*H8</f>
        <v>14523.960000000001</v>
      </c>
      <c r="J8" s="43">
        <v>20</v>
      </c>
      <c r="K8" s="78">
        <f>J8*G8</f>
        <v>2200.6</v>
      </c>
      <c r="L8" s="77">
        <f t="shared" si="0"/>
        <v>0.15151515151515149</v>
      </c>
      <c r="M8" s="43">
        <v>20</v>
      </c>
      <c r="N8" s="78">
        <f>M8*G8</f>
        <v>2200.6</v>
      </c>
      <c r="O8" s="77">
        <f t="shared" si="1"/>
        <v>0.15151515151515149</v>
      </c>
    </row>
    <row r="9" spans="1:15" s="5" customFormat="1" ht="12.75">
      <c r="A9" s="41" t="s">
        <v>234</v>
      </c>
      <c r="B9" s="42" t="s">
        <v>0</v>
      </c>
      <c r="C9" s="43">
        <v>90780</v>
      </c>
      <c r="D9" s="44" t="s">
        <v>232</v>
      </c>
      <c r="E9" s="43" t="s">
        <v>10</v>
      </c>
      <c r="F9" s="45">
        <v>57.37</v>
      </c>
      <c r="G9" s="46">
        <v>63.38</v>
      </c>
      <c r="H9" s="47">
        <f>8*22*3</f>
        <v>528</v>
      </c>
      <c r="I9" s="48">
        <f>G9*H9</f>
        <v>33464.639999999999</v>
      </c>
      <c r="J9" s="43">
        <v>80</v>
      </c>
      <c r="K9" s="78">
        <f>J9*G9</f>
        <v>5070.4000000000005</v>
      </c>
      <c r="L9" s="77">
        <f t="shared" si="0"/>
        <v>0.15151515151515155</v>
      </c>
      <c r="M9" s="43">
        <f>O8*H9</f>
        <v>79.999999999999986</v>
      </c>
      <c r="N9" s="78">
        <f>M9*G9</f>
        <v>5070.3999999999996</v>
      </c>
      <c r="O9" s="77">
        <f t="shared" si="1"/>
        <v>0.15151515151515152</v>
      </c>
    </row>
    <row r="10" spans="1:15" s="5" customFormat="1" ht="12.75">
      <c r="A10" s="33">
        <v>2</v>
      </c>
      <c r="B10" s="33"/>
      <c r="C10" s="33"/>
      <c r="D10" s="33" t="s">
        <v>14</v>
      </c>
      <c r="E10" s="79"/>
      <c r="F10" s="80"/>
      <c r="G10" s="81"/>
      <c r="H10" s="80"/>
      <c r="I10" s="82">
        <f>SUM(I11,I14)</f>
        <v>48634.65</v>
      </c>
      <c r="J10" s="80"/>
      <c r="K10" s="83">
        <f>K14+K11</f>
        <v>47064.21</v>
      </c>
      <c r="L10" s="84">
        <f t="shared" si="0"/>
        <v>0.96770944172518969</v>
      </c>
      <c r="M10" s="85"/>
      <c r="N10" s="83">
        <f>N14+N11</f>
        <v>47064.21</v>
      </c>
      <c r="O10" s="86">
        <f t="shared" si="1"/>
        <v>0.96770944172518969</v>
      </c>
    </row>
    <row r="11" spans="1:15" s="5" customFormat="1" ht="12.75">
      <c r="A11" s="35" t="s">
        <v>24</v>
      </c>
      <c r="B11" s="36"/>
      <c r="C11" s="37"/>
      <c r="D11" s="38" t="s">
        <v>38</v>
      </c>
      <c r="E11" s="32"/>
      <c r="F11" s="9"/>
      <c r="G11" s="11"/>
      <c r="H11" s="8"/>
      <c r="I11" s="87">
        <f>SUM(I12:I13)</f>
        <v>12659.01</v>
      </c>
      <c r="J11" s="8"/>
      <c r="K11" s="88">
        <f>K12+K13</f>
        <v>12659.01</v>
      </c>
      <c r="L11" s="89">
        <f t="shared" si="0"/>
        <v>1</v>
      </c>
      <c r="M11" s="8"/>
      <c r="N11" s="88">
        <f>N12+N13</f>
        <v>12659.01</v>
      </c>
      <c r="O11" s="90">
        <f t="shared" si="1"/>
        <v>1</v>
      </c>
    </row>
    <row r="12" spans="1:15" s="5" customFormat="1" ht="22.5">
      <c r="A12" s="41" t="s">
        <v>39</v>
      </c>
      <c r="B12" s="42" t="s">
        <v>0</v>
      </c>
      <c r="C12" s="43">
        <v>93212</v>
      </c>
      <c r="D12" s="53" t="s">
        <v>17</v>
      </c>
      <c r="E12" s="43" t="s">
        <v>16</v>
      </c>
      <c r="F12" s="45">
        <v>678.84</v>
      </c>
      <c r="G12" s="46">
        <v>749.94</v>
      </c>
      <c r="H12" s="47">
        <v>4</v>
      </c>
      <c r="I12" s="48">
        <f>G12*H12</f>
        <v>2999.76</v>
      </c>
      <c r="J12" s="43">
        <v>4</v>
      </c>
      <c r="K12" s="78">
        <f>J12*G12</f>
        <v>2999.76</v>
      </c>
      <c r="L12" s="77">
        <f t="shared" si="0"/>
        <v>1</v>
      </c>
      <c r="M12" s="43">
        <v>4</v>
      </c>
      <c r="N12" s="78">
        <f>M12*G12</f>
        <v>2999.76</v>
      </c>
      <c r="O12" s="77">
        <f t="shared" si="1"/>
        <v>1</v>
      </c>
    </row>
    <row r="13" spans="1:15" s="5" customFormat="1" ht="22.5">
      <c r="A13" s="41" t="s">
        <v>40</v>
      </c>
      <c r="B13" s="42" t="s">
        <v>0</v>
      </c>
      <c r="C13" s="43">
        <v>93584</v>
      </c>
      <c r="D13" s="53" t="s">
        <v>18</v>
      </c>
      <c r="E13" s="43" t="s">
        <v>16</v>
      </c>
      <c r="F13" s="45">
        <v>582.89</v>
      </c>
      <c r="G13" s="46">
        <v>643.95000000000005</v>
      </c>
      <c r="H13" s="47">
        <v>15</v>
      </c>
      <c r="I13" s="48">
        <f>G13*H13</f>
        <v>9659.25</v>
      </c>
      <c r="J13" s="43">
        <v>15</v>
      </c>
      <c r="K13" s="78">
        <f>J13*G13</f>
        <v>9659.25</v>
      </c>
      <c r="L13" s="77">
        <f t="shared" si="0"/>
        <v>1</v>
      </c>
      <c r="M13" s="43">
        <v>15</v>
      </c>
      <c r="N13" s="78">
        <f>M13*G13</f>
        <v>9659.25</v>
      </c>
      <c r="O13" s="77">
        <f t="shared" si="1"/>
        <v>1</v>
      </c>
    </row>
    <row r="14" spans="1:15" s="5" customFormat="1" ht="12.75">
      <c r="A14" s="35" t="s">
        <v>25</v>
      </c>
      <c r="B14" s="36"/>
      <c r="C14" s="37"/>
      <c r="D14" s="38" t="s">
        <v>238</v>
      </c>
      <c r="E14" s="37"/>
      <c r="F14" s="39"/>
      <c r="G14" s="40"/>
      <c r="H14" s="51"/>
      <c r="I14" s="52">
        <f>SUM(I15:I16)</f>
        <v>35975.64</v>
      </c>
      <c r="J14" s="8"/>
      <c r="K14" s="88">
        <f>K15+K16</f>
        <v>34405.199999999997</v>
      </c>
      <c r="L14" s="89">
        <f t="shared" si="0"/>
        <v>0.95634712822343115</v>
      </c>
      <c r="M14" s="8"/>
      <c r="N14" s="88">
        <f>N15+N16</f>
        <v>34405.199999999997</v>
      </c>
      <c r="O14" s="90">
        <f t="shared" si="1"/>
        <v>0.95634712822343115</v>
      </c>
    </row>
    <row r="15" spans="1:15" s="5" customFormat="1" ht="12.75">
      <c r="A15" s="41" t="s">
        <v>236</v>
      </c>
      <c r="B15" s="42" t="s">
        <v>0</v>
      </c>
      <c r="C15" s="43">
        <v>98459</v>
      </c>
      <c r="D15" s="53" t="s">
        <v>19</v>
      </c>
      <c r="E15" s="43" t="s">
        <v>16</v>
      </c>
      <c r="F15" s="45">
        <v>86.51</v>
      </c>
      <c r="G15" s="46">
        <v>95.57</v>
      </c>
      <c r="H15" s="47">
        <v>360</v>
      </c>
      <c r="I15" s="46">
        <f>G15*H15</f>
        <v>34405.199999999997</v>
      </c>
      <c r="J15" s="43">
        <v>360</v>
      </c>
      <c r="K15" s="78">
        <f>J15*G15</f>
        <v>34405.199999999997</v>
      </c>
      <c r="L15" s="77">
        <f t="shared" si="0"/>
        <v>1</v>
      </c>
      <c r="M15" s="43">
        <v>360</v>
      </c>
      <c r="N15" s="78">
        <f>M15*G15</f>
        <v>34405.199999999997</v>
      </c>
      <c r="O15" s="77">
        <f t="shared" si="1"/>
        <v>1</v>
      </c>
    </row>
    <row r="16" spans="1:15" s="5" customFormat="1" ht="12.75">
      <c r="A16" s="41" t="s">
        <v>237</v>
      </c>
      <c r="B16" s="42" t="s">
        <v>0</v>
      </c>
      <c r="C16" s="43" t="s">
        <v>53</v>
      </c>
      <c r="D16" s="53" t="s">
        <v>20</v>
      </c>
      <c r="E16" s="43" t="s">
        <v>16</v>
      </c>
      <c r="F16" s="45">
        <v>236.93</v>
      </c>
      <c r="G16" s="46">
        <v>261.74</v>
      </c>
      <c r="H16" s="47">
        <v>6</v>
      </c>
      <c r="I16" s="46">
        <f>G16*H16</f>
        <v>1570.44</v>
      </c>
      <c r="J16" s="43"/>
      <c r="K16" s="78"/>
      <c r="L16" s="77"/>
      <c r="M16" s="43"/>
      <c r="N16" s="78"/>
      <c r="O16" s="77"/>
    </row>
    <row r="17" spans="1:15" s="5" customFormat="1" ht="12.75">
      <c r="A17" s="33">
        <v>3</v>
      </c>
      <c r="B17" s="33"/>
      <c r="C17" s="33"/>
      <c r="D17" s="54" t="s">
        <v>21</v>
      </c>
      <c r="E17" s="79"/>
      <c r="F17" s="80"/>
      <c r="G17" s="81"/>
      <c r="H17" s="80"/>
      <c r="I17" s="82">
        <f>I18</f>
        <v>1920.4744000000001</v>
      </c>
      <c r="J17" s="80"/>
      <c r="K17" s="83">
        <f>K18</f>
        <v>1920.4744000000001</v>
      </c>
      <c r="L17" s="84">
        <f>K17/I17</f>
        <v>1</v>
      </c>
      <c r="M17" s="85"/>
      <c r="N17" s="83">
        <f>N18</f>
        <v>1920.4744000000001</v>
      </c>
      <c r="O17" s="86">
        <f>N17/I17</f>
        <v>1</v>
      </c>
    </row>
    <row r="18" spans="1:15" s="5" customFormat="1" ht="12.75">
      <c r="A18" s="35" t="s">
        <v>26</v>
      </c>
      <c r="B18" s="36"/>
      <c r="C18" s="37"/>
      <c r="D18" s="38" t="s">
        <v>240</v>
      </c>
      <c r="E18" s="32"/>
      <c r="F18" s="9"/>
      <c r="G18" s="11"/>
      <c r="H18" s="8"/>
      <c r="I18" s="87">
        <f>SUM(I19)</f>
        <v>1920.4744000000001</v>
      </c>
      <c r="J18" s="8"/>
      <c r="K18" s="88">
        <f>K19</f>
        <v>1920.4744000000001</v>
      </c>
      <c r="L18" s="89">
        <f>K18/I18</f>
        <v>1</v>
      </c>
      <c r="M18" s="8"/>
      <c r="N18" s="88">
        <f>N19</f>
        <v>1920.4744000000001</v>
      </c>
      <c r="O18" s="90">
        <f>N18/I18</f>
        <v>1</v>
      </c>
    </row>
    <row r="19" spans="1:15" s="5" customFormat="1" ht="12.75">
      <c r="A19" s="41" t="s">
        <v>239</v>
      </c>
      <c r="B19" s="42" t="s">
        <v>0</v>
      </c>
      <c r="C19" s="43" t="s">
        <v>136</v>
      </c>
      <c r="D19" s="53" t="s">
        <v>137</v>
      </c>
      <c r="E19" s="43" t="s">
        <v>16</v>
      </c>
      <c r="F19" s="46">
        <v>1.38</v>
      </c>
      <c r="G19" s="46">
        <v>1.52</v>
      </c>
      <c r="H19" s="47">
        <v>1263.47</v>
      </c>
      <c r="I19" s="46">
        <f>G19*H19</f>
        <v>1920.4744000000001</v>
      </c>
      <c r="J19" s="47">
        <f>H19</f>
        <v>1263.47</v>
      </c>
      <c r="K19" s="78">
        <f>J19*G19</f>
        <v>1920.4744000000001</v>
      </c>
      <c r="L19" s="77">
        <f>K19/I19</f>
        <v>1</v>
      </c>
      <c r="M19" s="47">
        <f>H19</f>
        <v>1263.47</v>
      </c>
      <c r="N19" s="78">
        <f>M19*G19</f>
        <v>1920.4744000000001</v>
      </c>
      <c r="O19" s="77">
        <f>N19/I19</f>
        <v>1</v>
      </c>
    </row>
    <row r="20" spans="1:15" s="5" customFormat="1" ht="12.75">
      <c r="A20" s="33">
        <v>4</v>
      </c>
      <c r="B20" s="33"/>
      <c r="C20" s="33"/>
      <c r="D20" s="54" t="s">
        <v>50</v>
      </c>
      <c r="E20" s="79"/>
      <c r="F20" s="80"/>
      <c r="G20" s="81"/>
      <c r="H20" s="80"/>
      <c r="I20" s="82">
        <f>SUM(I21,I27)</f>
        <v>84022.888800000001</v>
      </c>
      <c r="J20" s="80"/>
      <c r="K20" s="83"/>
      <c r="L20" s="84"/>
      <c r="M20" s="85"/>
      <c r="N20" s="83"/>
      <c r="O20" s="86"/>
    </row>
    <row r="21" spans="1:15" s="5" customFormat="1" ht="12.75">
      <c r="A21" s="35" t="s">
        <v>27</v>
      </c>
      <c r="B21" s="36"/>
      <c r="C21" s="37"/>
      <c r="D21" s="38" t="s">
        <v>68</v>
      </c>
      <c r="E21" s="32"/>
      <c r="F21" s="9"/>
      <c r="G21" s="11"/>
      <c r="H21" s="8"/>
      <c r="I21" s="87">
        <f>SUM(I22:I26)</f>
        <v>76535.968800000002</v>
      </c>
      <c r="J21" s="8"/>
      <c r="K21" s="88"/>
      <c r="L21" s="89"/>
      <c r="M21" s="8"/>
      <c r="N21" s="88"/>
      <c r="O21" s="90"/>
    </row>
    <row r="22" spans="1:15" s="5" customFormat="1" ht="22.5">
      <c r="A22" s="41" t="s">
        <v>69</v>
      </c>
      <c r="B22" s="42" t="s">
        <v>0</v>
      </c>
      <c r="C22" s="43">
        <v>96359</v>
      </c>
      <c r="D22" s="53" t="s">
        <v>48</v>
      </c>
      <c r="E22" s="43" t="s">
        <v>16</v>
      </c>
      <c r="F22" s="45">
        <v>99.65</v>
      </c>
      <c r="G22" s="46">
        <v>110.09</v>
      </c>
      <c r="H22" s="47">
        <v>389.61</v>
      </c>
      <c r="I22" s="46">
        <f>G22*H22</f>
        <v>42892.164900000003</v>
      </c>
      <c r="J22" s="43" t="s">
        <v>8</v>
      </c>
      <c r="K22" s="43" t="s">
        <v>8</v>
      </c>
      <c r="L22" s="43" t="s">
        <v>8</v>
      </c>
      <c r="M22" s="43" t="s">
        <v>8</v>
      </c>
      <c r="N22" s="43" t="s">
        <v>8</v>
      </c>
      <c r="O22" s="43" t="s">
        <v>8</v>
      </c>
    </row>
    <row r="23" spans="1:15" s="5" customFormat="1" ht="22.5">
      <c r="A23" s="41" t="s">
        <v>70</v>
      </c>
      <c r="B23" s="43" t="s">
        <v>22</v>
      </c>
      <c r="C23" s="43">
        <v>1</v>
      </c>
      <c r="D23" s="44" t="s">
        <v>138</v>
      </c>
      <c r="E23" s="43" t="s">
        <v>16</v>
      </c>
      <c r="F23" s="45">
        <f>[2]COMPOSIÇÕES!G7</f>
        <v>125.300318</v>
      </c>
      <c r="G23" s="46">
        <v>138.41999999999999</v>
      </c>
      <c r="H23" s="47">
        <v>26.19</v>
      </c>
      <c r="I23" s="46">
        <f>G23*H23</f>
        <v>3625.2197999999999</v>
      </c>
      <c r="J23" s="43" t="s">
        <v>8</v>
      </c>
      <c r="K23" s="43" t="s">
        <v>8</v>
      </c>
      <c r="L23" s="43" t="s">
        <v>8</v>
      </c>
      <c r="M23" s="43" t="s">
        <v>8</v>
      </c>
      <c r="N23" s="43" t="s">
        <v>8</v>
      </c>
      <c r="O23" s="43" t="s">
        <v>8</v>
      </c>
    </row>
    <row r="24" spans="1:15" s="5" customFormat="1" ht="22.5">
      <c r="A24" s="41" t="s">
        <v>71</v>
      </c>
      <c r="B24" s="43" t="s">
        <v>22</v>
      </c>
      <c r="C24" s="43">
        <v>2</v>
      </c>
      <c r="D24" s="44" t="s">
        <v>49</v>
      </c>
      <c r="E24" s="43" t="s">
        <v>16</v>
      </c>
      <c r="F24" s="45">
        <f>[2]COMPOSIÇÕES!G21</f>
        <v>112.49583799999999</v>
      </c>
      <c r="G24" s="46">
        <v>124.28</v>
      </c>
      <c r="H24" s="47">
        <v>109.89</v>
      </c>
      <c r="I24" s="46">
        <f>G24*H24</f>
        <v>13657.129199999999</v>
      </c>
      <c r="J24" s="43" t="s">
        <v>8</v>
      </c>
      <c r="K24" s="43" t="s">
        <v>8</v>
      </c>
      <c r="L24" s="43" t="s">
        <v>8</v>
      </c>
      <c r="M24" s="43" t="s">
        <v>8</v>
      </c>
      <c r="N24" s="43" t="s">
        <v>8</v>
      </c>
      <c r="O24" s="43" t="s">
        <v>8</v>
      </c>
    </row>
    <row r="25" spans="1:15" s="5" customFormat="1" ht="12.75">
      <c r="A25" s="41" t="s">
        <v>72</v>
      </c>
      <c r="B25" s="42" t="s">
        <v>0</v>
      </c>
      <c r="C25" s="43">
        <v>96372</v>
      </c>
      <c r="D25" s="53" t="s">
        <v>29</v>
      </c>
      <c r="E25" s="43" t="s">
        <v>16</v>
      </c>
      <c r="F25" s="45">
        <v>27.81</v>
      </c>
      <c r="G25" s="46">
        <v>30.71</v>
      </c>
      <c r="H25" s="47">
        <f>SUM(H22:H24)</f>
        <v>525.69000000000005</v>
      </c>
      <c r="I25" s="46">
        <f>G25*H25</f>
        <v>16143.939900000001</v>
      </c>
      <c r="J25" s="43" t="s">
        <v>8</v>
      </c>
      <c r="K25" s="43" t="s">
        <v>8</v>
      </c>
      <c r="L25" s="43" t="s">
        <v>8</v>
      </c>
      <c r="M25" s="43" t="s">
        <v>8</v>
      </c>
      <c r="N25" s="43" t="s">
        <v>8</v>
      </c>
      <c r="O25" s="43" t="s">
        <v>8</v>
      </c>
    </row>
    <row r="26" spans="1:15" s="5" customFormat="1" ht="12.75">
      <c r="A26" s="41" t="s">
        <v>73</v>
      </c>
      <c r="B26" s="42" t="s">
        <v>0</v>
      </c>
      <c r="C26" s="43">
        <v>96373</v>
      </c>
      <c r="D26" s="53" t="s">
        <v>30</v>
      </c>
      <c r="E26" s="43" t="s">
        <v>13</v>
      </c>
      <c r="F26" s="45">
        <v>7.73</v>
      </c>
      <c r="G26" s="46">
        <v>8.5299999999999994</v>
      </c>
      <c r="H26" s="47">
        <v>25.5</v>
      </c>
      <c r="I26" s="46">
        <f>G26*H26</f>
        <v>217.51499999999999</v>
      </c>
      <c r="J26" s="43" t="s">
        <v>8</v>
      </c>
      <c r="K26" s="43" t="s">
        <v>8</v>
      </c>
      <c r="L26" s="43" t="s">
        <v>8</v>
      </c>
      <c r="M26" s="43" t="s">
        <v>8</v>
      </c>
      <c r="N26" s="43" t="s">
        <v>8</v>
      </c>
      <c r="O26" s="43" t="s">
        <v>8</v>
      </c>
    </row>
    <row r="27" spans="1:15" s="5" customFormat="1" ht="12.75">
      <c r="A27" s="35" t="s">
        <v>28</v>
      </c>
      <c r="B27" s="36"/>
      <c r="C27" s="37"/>
      <c r="D27" s="38" t="s">
        <v>242</v>
      </c>
      <c r="E27" s="32"/>
      <c r="F27" s="9"/>
      <c r="G27" s="11"/>
      <c r="H27" s="8"/>
      <c r="I27" s="87">
        <f>SUM(I28:I28)</f>
        <v>7486.92</v>
      </c>
      <c r="J27" s="8"/>
      <c r="K27" s="88"/>
      <c r="L27" s="89"/>
      <c r="M27" s="8"/>
      <c r="N27" s="88"/>
      <c r="O27" s="90"/>
    </row>
    <row r="28" spans="1:15" s="5" customFormat="1" ht="22.5">
      <c r="A28" s="41" t="s">
        <v>241</v>
      </c>
      <c r="B28" s="42" t="s">
        <v>0</v>
      </c>
      <c r="C28" s="43" t="s">
        <v>309</v>
      </c>
      <c r="D28" s="44" t="s">
        <v>310</v>
      </c>
      <c r="E28" s="43" t="s">
        <v>16</v>
      </c>
      <c r="F28" s="45">
        <v>322.72000000000003</v>
      </c>
      <c r="G28" s="46">
        <v>356.52</v>
      </c>
      <c r="H28" s="47">
        <v>21</v>
      </c>
      <c r="I28" s="46">
        <f>G28*H28</f>
        <v>7486.92</v>
      </c>
      <c r="J28" s="43" t="s">
        <v>8</v>
      </c>
      <c r="K28" s="43" t="s">
        <v>8</v>
      </c>
      <c r="L28" s="43" t="s">
        <v>8</v>
      </c>
      <c r="M28" s="43" t="s">
        <v>8</v>
      </c>
      <c r="N28" s="43" t="s">
        <v>8</v>
      </c>
      <c r="O28" s="43" t="s">
        <v>8</v>
      </c>
    </row>
    <row r="29" spans="1:15" s="5" customFormat="1" ht="12.75">
      <c r="A29" s="33">
        <v>5</v>
      </c>
      <c r="B29" s="33"/>
      <c r="C29" s="33"/>
      <c r="D29" s="54" t="s">
        <v>31</v>
      </c>
      <c r="E29" s="79"/>
      <c r="F29" s="80"/>
      <c r="G29" s="81"/>
      <c r="H29" s="80"/>
      <c r="I29" s="82">
        <f>SUM(I30,I34,I38,I40)</f>
        <v>89260.665999999997</v>
      </c>
      <c r="J29" s="80"/>
      <c r="K29" s="83"/>
      <c r="L29" s="84"/>
      <c r="M29" s="85"/>
      <c r="N29" s="83"/>
      <c r="O29" s="86"/>
    </row>
    <row r="30" spans="1:15" s="10" customFormat="1" ht="12.75">
      <c r="A30" s="35" t="s">
        <v>32</v>
      </c>
      <c r="B30" s="36"/>
      <c r="C30" s="37"/>
      <c r="D30" s="38" t="s">
        <v>78</v>
      </c>
      <c r="E30" s="32"/>
      <c r="F30" s="9"/>
      <c r="G30" s="11"/>
      <c r="H30" s="8"/>
      <c r="I30" s="87">
        <f>SUM(I31:I33)</f>
        <v>13011.273999999999</v>
      </c>
      <c r="J30" s="8"/>
      <c r="K30" s="88"/>
      <c r="L30" s="89"/>
      <c r="M30" s="8"/>
      <c r="N30" s="88"/>
      <c r="O30" s="90"/>
    </row>
    <row r="31" spans="1:15" s="5" customFormat="1" ht="33.75">
      <c r="A31" s="41" t="s">
        <v>75</v>
      </c>
      <c r="B31" s="42" t="s">
        <v>22</v>
      </c>
      <c r="C31" s="43">
        <f>[2]COMPOSIÇÕES!B53</f>
        <v>5</v>
      </c>
      <c r="D31" s="53" t="s">
        <v>324</v>
      </c>
      <c r="E31" s="43" t="s">
        <v>16</v>
      </c>
      <c r="F31" s="45">
        <f>[2]COMPOSIÇÕES!G53</f>
        <v>81.936199999999985</v>
      </c>
      <c r="G31" s="46">
        <v>93.83</v>
      </c>
      <c r="H31" s="47">
        <v>100</v>
      </c>
      <c r="I31" s="46">
        <f>G31*H31</f>
        <v>9383</v>
      </c>
      <c r="J31" s="43" t="s">
        <v>8</v>
      </c>
      <c r="K31" s="43" t="s">
        <v>8</v>
      </c>
      <c r="L31" s="43" t="s">
        <v>8</v>
      </c>
      <c r="M31" s="43" t="s">
        <v>8</v>
      </c>
      <c r="N31" s="43" t="s">
        <v>8</v>
      </c>
      <c r="O31" s="43" t="s">
        <v>8</v>
      </c>
    </row>
    <row r="32" spans="1:15" s="5" customFormat="1" ht="12.75">
      <c r="A32" s="41" t="s">
        <v>76</v>
      </c>
      <c r="B32" s="42" t="s">
        <v>0</v>
      </c>
      <c r="C32" s="43">
        <v>88649</v>
      </c>
      <c r="D32" s="53" t="s">
        <v>308</v>
      </c>
      <c r="E32" s="43" t="s">
        <v>13</v>
      </c>
      <c r="F32" s="45">
        <v>5.12</v>
      </c>
      <c r="G32" s="46">
        <v>5.65</v>
      </c>
      <c r="H32" s="47">
        <v>500</v>
      </c>
      <c r="I32" s="46">
        <f>G32*H32</f>
        <v>2825</v>
      </c>
      <c r="J32" s="43" t="s">
        <v>8</v>
      </c>
      <c r="K32" s="43" t="s">
        <v>8</v>
      </c>
      <c r="L32" s="43" t="s">
        <v>8</v>
      </c>
      <c r="M32" s="43" t="s">
        <v>8</v>
      </c>
      <c r="N32" s="43" t="s">
        <v>8</v>
      </c>
      <c r="O32" s="43" t="s">
        <v>8</v>
      </c>
    </row>
    <row r="33" spans="1:15" s="5" customFormat="1" ht="12.75">
      <c r="A33" s="41" t="s">
        <v>77</v>
      </c>
      <c r="B33" s="42" t="s">
        <v>0</v>
      </c>
      <c r="C33" s="43">
        <v>98689</v>
      </c>
      <c r="D33" s="53" t="s">
        <v>120</v>
      </c>
      <c r="E33" s="43" t="s">
        <v>13</v>
      </c>
      <c r="F33" s="45">
        <v>87.61</v>
      </c>
      <c r="G33" s="46">
        <v>96.78</v>
      </c>
      <c r="H33" s="47">
        <v>8.3000000000000007</v>
      </c>
      <c r="I33" s="46">
        <f>G33*H33</f>
        <v>803.27400000000011</v>
      </c>
      <c r="J33" s="43" t="s">
        <v>8</v>
      </c>
      <c r="K33" s="43" t="s">
        <v>8</v>
      </c>
      <c r="L33" s="43" t="s">
        <v>8</v>
      </c>
      <c r="M33" s="43" t="s">
        <v>8</v>
      </c>
      <c r="N33" s="43" t="s">
        <v>8</v>
      </c>
      <c r="O33" s="43" t="s">
        <v>8</v>
      </c>
    </row>
    <row r="34" spans="1:15" s="10" customFormat="1" ht="12.75">
      <c r="A34" s="35" t="s">
        <v>196</v>
      </c>
      <c r="B34" s="36"/>
      <c r="C34" s="37"/>
      <c r="D34" s="38" t="s">
        <v>82</v>
      </c>
      <c r="E34" s="32"/>
      <c r="F34" s="9"/>
      <c r="G34" s="46"/>
      <c r="H34" s="8"/>
      <c r="I34" s="87">
        <f>SUM(I35:I37)</f>
        <v>37082.688999999998</v>
      </c>
      <c r="J34" s="8"/>
      <c r="K34" s="88"/>
      <c r="L34" s="89"/>
      <c r="M34" s="8"/>
      <c r="N34" s="88"/>
      <c r="O34" s="90"/>
    </row>
    <row r="35" spans="1:15" s="5" customFormat="1" ht="12.75">
      <c r="A35" s="41" t="s">
        <v>245</v>
      </c>
      <c r="B35" s="42" t="s">
        <v>12</v>
      </c>
      <c r="C35" s="43">
        <v>1996</v>
      </c>
      <c r="D35" s="53" t="s">
        <v>205</v>
      </c>
      <c r="E35" s="43" t="s">
        <v>16</v>
      </c>
      <c r="F35" s="45">
        <v>415.18</v>
      </c>
      <c r="G35" s="46">
        <v>458.67</v>
      </c>
      <c r="H35" s="47">
        <v>0.7</v>
      </c>
      <c r="I35" s="46">
        <f>G35*H35</f>
        <v>321.06900000000002</v>
      </c>
      <c r="J35" s="43" t="s">
        <v>8</v>
      </c>
      <c r="K35" s="43" t="s">
        <v>8</v>
      </c>
      <c r="L35" s="43" t="s">
        <v>8</v>
      </c>
      <c r="M35" s="43" t="s">
        <v>8</v>
      </c>
      <c r="N35" s="43" t="s">
        <v>8</v>
      </c>
      <c r="O35" s="43" t="s">
        <v>8</v>
      </c>
    </row>
    <row r="36" spans="1:15" s="5" customFormat="1" ht="22.5">
      <c r="A36" s="41" t="s">
        <v>311</v>
      </c>
      <c r="B36" s="42" t="s">
        <v>22</v>
      </c>
      <c r="C36" s="43">
        <f>[2]COMPOSIÇÕES!B61</f>
        <v>6</v>
      </c>
      <c r="D36" s="44" t="s">
        <v>325</v>
      </c>
      <c r="E36" s="43" t="s">
        <v>16</v>
      </c>
      <c r="F36" s="45">
        <f>[2]COMPOSIÇÕES!G61</f>
        <v>64.417599999999993</v>
      </c>
      <c r="G36" s="46">
        <v>71.16</v>
      </c>
      <c r="H36" s="47">
        <v>400</v>
      </c>
      <c r="I36" s="46">
        <f>G36*H36</f>
        <v>28464</v>
      </c>
      <c r="J36" s="43" t="s">
        <v>8</v>
      </c>
      <c r="K36" s="43" t="s">
        <v>8</v>
      </c>
      <c r="L36" s="43" t="s">
        <v>8</v>
      </c>
      <c r="M36" s="43" t="s">
        <v>8</v>
      </c>
      <c r="N36" s="43" t="s">
        <v>8</v>
      </c>
      <c r="O36" s="43" t="s">
        <v>8</v>
      </c>
    </row>
    <row r="37" spans="1:15" s="5" customFormat="1" ht="12.75">
      <c r="A37" s="41" t="s">
        <v>312</v>
      </c>
      <c r="B37" s="43" t="s">
        <v>1</v>
      </c>
      <c r="C37" s="43">
        <f>[2]COTAÇÕES!B24</f>
        <v>2</v>
      </c>
      <c r="D37" s="44" t="s">
        <v>251</v>
      </c>
      <c r="E37" s="43" t="s">
        <v>13</v>
      </c>
      <c r="F37" s="45">
        <f>[2]COTAÇÕES!G24</f>
        <v>101.51125</v>
      </c>
      <c r="G37" s="46">
        <v>112.13</v>
      </c>
      <c r="H37" s="47">
        <v>74</v>
      </c>
      <c r="I37" s="46">
        <f>G37*H37</f>
        <v>8297.619999999999</v>
      </c>
      <c r="J37" s="43" t="s">
        <v>8</v>
      </c>
      <c r="K37" s="43" t="s">
        <v>8</v>
      </c>
      <c r="L37" s="43" t="s">
        <v>8</v>
      </c>
      <c r="M37" s="43" t="s">
        <v>8</v>
      </c>
      <c r="N37" s="43" t="s">
        <v>8</v>
      </c>
      <c r="O37" s="43" t="s">
        <v>8</v>
      </c>
    </row>
    <row r="38" spans="1:15" s="10" customFormat="1" ht="12.75">
      <c r="A38" s="35" t="s">
        <v>33</v>
      </c>
      <c r="B38" s="36"/>
      <c r="C38" s="37"/>
      <c r="D38" s="38" t="s">
        <v>34</v>
      </c>
      <c r="E38" s="32"/>
      <c r="F38" s="9"/>
      <c r="G38" s="46"/>
      <c r="H38" s="8"/>
      <c r="I38" s="87">
        <f>SUM(I39)</f>
        <v>10590.800000000001</v>
      </c>
      <c r="J38" s="8"/>
      <c r="K38" s="88"/>
      <c r="L38" s="89"/>
      <c r="M38" s="8"/>
      <c r="N38" s="88"/>
      <c r="O38" s="90"/>
    </row>
    <row r="39" spans="1:15" s="5" customFormat="1" ht="12.75">
      <c r="A39" s="41" t="s">
        <v>246</v>
      </c>
      <c r="B39" s="42" t="s">
        <v>0</v>
      </c>
      <c r="C39" s="43">
        <v>96114</v>
      </c>
      <c r="D39" s="53" t="s">
        <v>35</v>
      </c>
      <c r="E39" s="43" t="s">
        <v>16</v>
      </c>
      <c r="F39" s="45">
        <v>66.12</v>
      </c>
      <c r="G39" s="46">
        <v>73.040000000000006</v>
      </c>
      <c r="H39" s="47">
        <v>145</v>
      </c>
      <c r="I39" s="46">
        <f>G39*H39</f>
        <v>10590.800000000001</v>
      </c>
      <c r="J39" s="43" t="s">
        <v>8</v>
      </c>
      <c r="K39" s="43" t="s">
        <v>8</v>
      </c>
      <c r="L39" s="43" t="s">
        <v>8</v>
      </c>
      <c r="M39" s="43" t="s">
        <v>8</v>
      </c>
      <c r="N39" s="43" t="s">
        <v>8</v>
      </c>
      <c r="O39" s="43" t="s">
        <v>8</v>
      </c>
    </row>
    <row r="40" spans="1:15" s="10" customFormat="1" ht="15">
      <c r="A40" s="35" t="s">
        <v>313</v>
      </c>
      <c r="B40" s="36"/>
      <c r="C40" s="37"/>
      <c r="D40" s="38" t="s">
        <v>87</v>
      </c>
      <c r="E40" s="32"/>
      <c r="F40" s="9"/>
      <c r="G40" s="46"/>
      <c r="H40" s="8"/>
      <c r="I40" s="87">
        <f>SUM(I41)</f>
        <v>28575.903000000002</v>
      </c>
      <c r="J40" s="8"/>
      <c r="K40" s="88"/>
      <c r="L40" s="89"/>
      <c r="M40" s="8"/>
      <c r="N40" s="88"/>
      <c r="O40" s="55"/>
    </row>
    <row r="41" spans="1:15" s="5" customFormat="1" ht="16.5" customHeight="1">
      <c r="A41" s="41" t="s">
        <v>314</v>
      </c>
      <c r="B41" s="43" t="s">
        <v>22</v>
      </c>
      <c r="C41" s="43">
        <f>[2]COMPOSIÇÕES!B46</f>
        <v>4</v>
      </c>
      <c r="D41" s="44" t="s">
        <v>252</v>
      </c>
      <c r="E41" s="43" t="s">
        <v>16</v>
      </c>
      <c r="F41" s="45">
        <f>[2]COMPOSIÇÕES!G46</f>
        <v>101.29941300000002</v>
      </c>
      <c r="G41" s="46">
        <v>111.9</v>
      </c>
      <c r="H41" s="47">
        <v>255.37</v>
      </c>
      <c r="I41" s="46">
        <f>G41*H41</f>
        <v>28575.903000000002</v>
      </c>
      <c r="J41" s="43" t="s">
        <v>8</v>
      </c>
      <c r="K41" s="43" t="s">
        <v>8</v>
      </c>
      <c r="L41" s="43" t="s">
        <v>8</v>
      </c>
      <c r="M41" s="43" t="s">
        <v>8</v>
      </c>
      <c r="N41" s="43" t="s">
        <v>8</v>
      </c>
      <c r="O41" s="43" t="s">
        <v>8</v>
      </c>
    </row>
    <row r="42" spans="1:15" s="5" customFormat="1" ht="12.75">
      <c r="A42" s="33">
        <v>6</v>
      </c>
      <c r="B42" s="33"/>
      <c r="C42" s="33"/>
      <c r="D42" s="54" t="s">
        <v>36</v>
      </c>
      <c r="E42" s="79"/>
      <c r="F42" s="80"/>
      <c r="G42" s="81"/>
      <c r="H42" s="80"/>
      <c r="I42" s="82">
        <f>SUM(I43,I48,I51,I54)</f>
        <v>48315.277399999999</v>
      </c>
      <c r="J42" s="80"/>
      <c r="K42" s="83"/>
      <c r="L42" s="84"/>
      <c r="M42" s="85"/>
      <c r="N42" s="83"/>
      <c r="O42" s="86"/>
    </row>
    <row r="43" spans="1:15" s="5" customFormat="1" ht="12.75">
      <c r="A43" s="35" t="s">
        <v>37</v>
      </c>
      <c r="B43" s="36"/>
      <c r="C43" s="37"/>
      <c r="D43" s="38" t="s">
        <v>82</v>
      </c>
      <c r="E43" s="32"/>
      <c r="F43" s="9"/>
      <c r="G43" s="11"/>
      <c r="H43" s="8"/>
      <c r="I43" s="87">
        <f>SUM(I44:I47)</f>
        <v>23886.94</v>
      </c>
      <c r="J43" s="8"/>
      <c r="K43" s="88"/>
      <c r="L43" s="89"/>
      <c r="M43" s="8"/>
      <c r="N43" s="88"/>
      <c r="O43" s="90"/>
    </row>
    <row r="44" spans="1:15" s="5" customFormat="1" ht="17.25" customHeight="1">
      <c r="A44" s="41" t="s">
        <v>79</v>
      </c>
      <c r="B44" s="42" t="s">
        <v>0</v>
      </c>
      <c r="C44" s="43">
        <v>95626</v>
      </c>
      <c r="D44" s="44" t="s">
        <v>43</v>
      </c>
      <c r="E44" s="43" t="s">
        <v>16</v>
      </c>
      <c r="F44" s="45">
        <v>12.95</v>
      </c>
      <c r="G44" s="46">
        <v>14.3</v>
      </c>
      <c r="H44" s="47">
        <v>290</v>
      </c>
      <c r="I44" s="46">
        <f>G44*H44</f>
        <v>4147</v>
      </c>
      <c r="J44" s="43" t="s">
        <v>8</v>
      </c>
      <c r="K44" s="43" t="s">
        <v>8</v>
      </c>
      <c r="L44" s="43" t="s">
        <v>8</v>
      </c>
      <c r="M44" s="43" t="s">
        <v>8</v>
      </c>
      <c r="N44" s="43" t="s">
        <v>8</v>
      </c>
      <c r="O44" s="43" t="s">
        <v>8</v>
      </c>
    </row>
    <row r="45" spans="1:15" s="5" customFormat="1" ht="12.75">
      <c r="A45" s="41" t="s">
        <v>80</v>
      </c>
      <c r="B45" s="42" t="s">
        <v>0</v>
      </c>
      <c r="C45" s="43">
        <v>88497</v>
      </c>
      <c r="D45" s="44" t="s">
        <v>98</v>
      </c>
      <c r="E45" s="43" t="s">
        <v>16</v>
      </c>
      <c r="F45" s="45">
        <v>12.61</v>
      </c>
      <c r="G45" s="46">
        <v>13.93</v>
      </c>
      <c r="H45" s="47">
        <v>453</v>
      </c>
      <c r="I45" s="46">
        <f>G45*H45</f>
        <v>6310.29</v>
      </c>
      <c r="J45" s="43" t="s">
        <v>8</v>
      </c>
      <c r="K45" s="43" t="s">
        <v>8</v>
      </c>
      <c r="L45" s="43" t="s">
        <v>8</v>
      </c>
      <c r="M45" s="43" t="s">
        <v>8</v>
      </c>
      <c r="N45" s="43" t="s">
        <v>8</v>
      </c>
      <c r="O45" s="43" t="s">
        <v>8</v>
      </c>
    </row>
    <row r="46" spans="1:15" s="5" customFormat="1" ht="12.75">
      <c r="A46" s="41" t="s">
        <v>81</v>
      </c>
      <c r="B46" s="42" t="s">
        <v>0</v>
      </c>
      <c r="C46" s="43">
        <v>88495</v>
      </c>
      <c r="D46" s="44" t="s">
        <v>99</v>
      </c>
      <c r="E46" s="43" t="s">
        <v>16</v>
      </c>
      <c r="F46" s="45">
        <v>9.1300000000000008</v>
      </c>
      <c r="G46" s="46">
        <v>10.08</v>
      </c>
      <c r="H46" s="47">
        <v>735</v>
      </c>
      <c r="I46" s="46">
        <f>G46*H46</f>
        <v>7408.8</v>
      </c>
      <c r="J46" s="43" t="s">
        <v>8</v>
      </c>
      <c r="K46" s="43" t="s">
        <v>8</v>
      </c>
      <c r="L46" s="43" t="s">
        <v>8</v>
      </c>
      <c r="M46" s="43" t="s">
        <v>8</v>
      </c>
      <c r="N46" s="43" t="s">
        <v>8</v>
      </c>
      <c r="O46" s="43" t="s">
        <v>8</v>
      </c>
    </row>
    <row r="47" spans="1:15" s="5" customFormat="1" ht="22.5">
      <c r="A47" s="41" t="s">
        <v>321</v>
      </c>
      <c r="B47" s="42" t="s">
        <v>0</v>
      </c>
      <c r="C47" s="43">
        <v>88489</v>
      </c>
      <c r="D47" s="53" t="s">
        <v>46</v>
      </c>
      <c r="E47" s="43" t="s">
        <v>16</v>
      </c>
      <c r="F47" s="45">
        <v>12.25</v>
      </c>
      <c r="G47" s="46">
        <v>13.53</v>
      </c>
      <c r="H47" s="47">
        <v>445</v>
      </c>
      <c r="I47" s="46">
        <f>G47*H47</f>
        <v>6020.8499999999995</v>
      </c>
      <c r="J47" s="43" t="s">
        <v>8</v>
      </c>
      <c r="K47" s="43" t="s">
        <v>8</v>
      </c>
      <c r="L47" s="43" t="s">
        <v>8</v>
      </c>
      <c r="M47" s="43" t="s">
        <v>8</v>
      </c>
      <c r="N47" s="43" t="s">
        <v>8</v>
      </c>
      <c r="O47" s="43" t="s">
        <v>8</v>
      </c>
    </row>
    <row r="48" spans="1:15" s="10" customFormat="1" ht="12.75">
      <c r="A48" s="35" t="s">
        <v>41</v>
      </c>
      <c r="B48" s="36"/>
      <c r="C48" s="37"/>
      <c r="D48" s="38" t="s">
        <v>34</v>
      </c>
      <c r="E48" s="32"/>
      <c r="F48" s="9"/>
      <c r="G48" s="46"/>
      <c r="H48" s="8"/>
      <c r="I48" s="87">
        <f>SUM(I49:I50)</f>
        <v>16136.560000000001</v>
      </c>
      <c r="J48" s="8"/>
      <c r="K48" s="88"/>
      <c r="L48" s="89"/>
      <c r="M48" s="8"/>
      <c r="N48" s="88"/>
      <c r="O48" s="92"/>
    </row>
    <row r="49" spans="1:15" s="5" customFormat="1" ht="12.75">
      <c r="A49" s="41" t="s">
        <v>83</v>
      </c>
      <c r="B49" s="42" t="s">
        <v>0</v>
      </c>
      <c r="C49" s="43">
        <v>88494</v>
      </c>
      <c r="D49" s="53" t="s">
        <v>44</v>
      </c>
      <c r="E49" s="43" t="s">
        <v>16</v>
      </c>
      <c r="F49" s="45">
        <v>16.41</v>
      </c>
      <c r="G49" s="46">
        <v>18.12</v>
      </c>
      <c r="H49" s="47">
        <v>484</v>
      </c>
      <c r="I49" s="46">
        <f>G49*H49</f>
        <v>8770.08</v>
      </c>
      <c r="J49" s="43" t="s">
        <v>8</v>
      </c>
      <c r="K49" s="43" t="s">
        <v>8</v>
      </c>
      <c r="L49" s="43" t="s">
        <v>8</v>
      </c>
      <c r="M49" s="43" t="s">
        <v>8</v>
      </c>
      <c r="N49" s="43" t="s">
        <v>8</v>
      </c>
      <c r="O49" s="43" t="s">
        <v>8</v>
      </c>
    </row>
    <row r="50" spans="1:15" s="5" customFormat="1" ht="22.5">
      <c r="A50" s="41" t="s">
        <v>84</v>
      </c>
      <c r="B50" s="42" t="s">
        <v>0</v>
      </c>
      <c r="C50" s="43">
        <v>88488</v>
      </c>
      <c r="D50" s="53" t="s">
        <v>47</v>
      </c>
      <c r="E50" s="43" t="s">
        <v>16</v>
      </c>
      <c r="F50" s="45">
        <v>13.78</v>
      </c>
      <c r="G50" s="46">
        <v>15.22</v>
      </c>
      <c r="H50" s="47">
        <v>484</v>
      </c>
      <c r="I50" s="46">
        <f>G50*H50</f>
        <v>7366.4800000000005</v>
      </c>
      <c r="J50" s="43" t="s">
        <v>8</v>
      </c>
      <c r="K50" s="43" t="s">
        <v>8</v>
      </c>
      <c r="L50" s="43" t="s">
        <v>8</v>
      </c>
      <c r="M50" s="43" t="s">
        <v>8</v>
      </c>
      <c r="N50" s="43" t="s">
        <v>8</v>
      </c>
      <c r="O50" s="43" t="s">
        <v>8</v>
      </c>
    </row>
    <row r="51" spans="1:15" s="10" customFormat="1" ht="12.75">
      <c r="A51" s="35" t="s">
        <v>42</v>
      </c>
      <c r="B51" s="36"/>
      <c r="C51" s="37"/>
      <c r="D51" s="38" t="s">
        <v>93</v>
      </c>
      <c r="E51" s="32"/>
      <c r="F51" s="9"/>
      <c r="G51" s="46"/>
      <c r="H51" s="8"/>
      <c r="I51" s="87">
        <f>SUM(I52:I53)</f>
        <v>7123.9884999999995</v>
      </c>
      <c r="J51" s="8"/>
      <c r="K51" s="88"/>
      <c r="L51" s="89"/>
      <c r="M51" s="8"/>
      <c r="N51" s="88"/>
      <c r="O51" s="92"/>
    </row>
    <row r="52" spans="1:15" s="5" customFormat="1" ht="12.75">
      <c r="A52" s="41" t="s">
        <v>85</v>
      </c>
      <c r="B52" s="42" t="s">
        <v>0</v>
      </c>
      <c r="C52" s="43">
        <v>84679</v>
      </c>
      <c r="D52" s="53" t="s">
        <v>51</v>
      </c>
      <c r="E52" s="43" t="s">
        <v>16</v>
      </c>
      <c r="F52" s="45">
        <v>18.55</v>
      </c>
      <c r="G52" s="46">
        <v>20.48</v>
      </c>
      <c r="H52" s="47">
        <v>152.44999999999999</v>
      </c>
      <c r="I52" s="46">
        <f>G52*H52</f>
        <v>3122.1759999999999</v>
      </c>
      <c r="J52" s="43" t="s">
        <v>8</v>
      </c>
      <c r="K52" s="43" t="s">
        <v>8</v>
      </c>
      <c r="L52" s="43" t="s">
        <v>8</v>
      </c>
      <c r="M52" s="43" t="s">
        <v>8</v>
      </c>
      <c r="N52" s="43" t="s">
        <v>8</v>
      </c>
      <c r="O52" s="43" t="s">
        <v>8</v>
      </c>
    </row>
    <row r="53" spans="1:15" s="5" customFormat="1" ht="22.5">
      <c r="A53" s="41" t="s">
        <v>322</v>
      </c>
      <c r="B53" s="42" t="s">
        <v>0</v>
      </c>
      <c r="C53" s="43" t="s">
        <v>52</v>
      </c>
      <c r="D53" s="53" t="s">
        <v>54</v>
      </c>
      <c r="E53" s="43" t="s">
        <v>16</v>
      </c>
      <c r="F53" s="45">
        <v>23.77</v>
      </c>
      <c r="G53" s="46">
        <v>26.25</v>
      </c>
      <c r="H53" s="47">
        <v>152.44999999999999</v>
      </c>
      <c r="I53" s="46">
        <f>G53*H53</f>
        <v>4001.8124999999995</v>
      </c>
      <c r="J53" s="43" t="s">
        <v>8</v>
      </c>
      <c r="K53" s="43" t="s">
        <v>8</v>
      </c>
      <c r="L53" s="43" t="s">
        <v>8</v>
      </c>
      <c r="M53" s="43" t="s">
        <v>8</v>
      </c>
      <c r="N53" s="43" t="s">
        <v>8</v>
      </c>
      <c r="O53" s="43" t="s">
        <v>8</v>
      </c>
    </row>
    <row r="54" spans="1:15" s="10" customFormat="1" ht="12.75">
      <c r="A54" s="35" t="s">
        <v>45</v>
      </c>
      <c r="B54" s="36"/>
      <c r="C54" s="37"/>
      <c r="D54" s="38" t="s">
        <v>95</v>
      </c>
      <c r="E54" s="32"/>
      <c r="F54" s="9"/>
      <c r="G54" s="46"/>
      <c r="H54" s="8"/>
      <c r="I54" s="87">
        <f>SUM(I55:I56)</f>
        <v>1167.7889</v>
      </c>
      <c r="J54" s="8"/>
      <c r="K54" s="88"/>
      <c r="L54" s="89"/>
      <c r="M54" s="8"/>
      <c r="N54" s="88"/>
      <c r="O54" s="92"/>
    </row>
    <row r="55" spans="1:15" s="5" customFormat="1" ht="12.75">
      <c r="A55" s="41" t="s">
        <v>86</v>
      </c>
      <c r="B55" s="42" t="s">
        <v>0</v>
      </c>
      <c r="C55" s="43" t="s">
        <v>55</v>
      </c>
      <c r="D55" s="53" t="s">
        <v>56</v>
      </c>
      <c r="E55" s="43" t="s">
        <v>16</v>
      </c>
      <c r="F55" s="45">
        <v>19.329999999999998</v>
      </c>
      <c r="G55" s="46">
        <v>21.34</v>
      </c>
      <c r="H55" s="47">
        <v>23.46</v>
      </c>
      <c r="I55" s="46">
        <f>G55*H55</f>
        <v>500.63640000000004</v>
      </c>
      <c r="J55" s="43" t="s">
        <v>8</v>
      </c>
      <c r="K55" s="43" t="s">
        <v>8</v>
      </c>
      <c r="L55" s="43" t="s">
        <v>8</v>
      </c>
      <c r="M55" s="43" t="s">
        <v>8</v>
      </c>
      <c r="N55" s="43" t="s">
        <v>8</v>
      </c>
      <c r="O55" s="43" t="s">
        <v>8</v>
      </c>
    </row>
    <row r="56" spans="1:15" s="5" customFormat="1" ht="12.75">
      <c r="A56" s="41" t="s">
        <v>323</v>
      </c>
      <c r="B56" s="42" t="s">
        <v>0</v>
      </c>
      <c r="C56" s="43" t="s">
        <v>57</v>
      </c>
      <c r="D56" s="53" t="s">
        <v>58</v>
      </c>
      <c r="E56" s="43" t="s">
        <v>16</v>
      </c>
      <c r="F56" s="45">
        <v>25.75</v>
      </c>
      <c r="G56" s="46">
        <v>28.45</v>
      </c>
      <c r="H56" s="47">
        <v>23.45</v>
      </c>
      <c r="I56" s="46">
        <f>G56*H56</f>
        <v>667.15249999999992</v>
      </c>
      <c r="J56" s="43" t="s">
        <v>8</v>
      </c>
      <c r="K56" s="43" t="s">
        <v>8</v>
      </c>
      <c r="L56" s="43" t="s">
        <v>8</v>
      </c>
      <c r="M56" s="43" t="s">
        <v>8</v>
      </c>
      <c r="N56" s="43" t="s">
        <v>8</v>
      </c>
      <c r="O56" s="43" t="s">
        <v>8</v>
      </c>
    </row>
    <row r="57" spans="1:15" s="5" customFormat="1" ht="12.75">
      <c r="A57" s="33">
        <v>7</v>
      </c>
      <c r="B57" s="33"/>
      <c r="C57" s="33"/>
      <c r="D57" s="54" t="s">
        <v>62</v>
      </c>
      <c r="E57" s="79"/>
      <c r="F57" s="80"/>
      <c r="G57" s="81"/>
      <c r="H57" s="80"/>
      <c r="I57" s="82">
        <f>SUM(I58,I69,I71)</f>
        <v>57011.048800000004</v>
      </c>
      <c r="J57" s="80"/>
      <c r="K57" s="83"/>
      <c r="L57" s="84"/>
      <c r="M57" s="85"/>
      <c r="N57" s="83"/>
      <c r="O57" s="86"/>
    </row>
    <row r="58" spans="1:15" s="5" customFormat="1" ht="12.75">
      <c r="A58" s="35" t="s">
        <v>59</v>
      </c>
      <c r="B58" s="36"/>
      <c r="C58" s="37"/>
      <c r="D58" s="38" t="s">
        <v>74</v>
      </c>
      <c r="E58" s="32"/>
      <c r="F58" s="9"/>
      <c r="G58" s="11"/>
      <c r="H58" s="8"/>
      <c r="I58" s="87">
        <f>SUM(I59:I68)</f>
        <v>56033.911600000007</v>
      </c>
      <c r="J58" s="8"/>
      <c r="K58" s="88"/>
      <c r="L58" s="89"/>
      <c r="M58" s="8"/>
      <c r="N58" s="88"/>
      <c r="O58" s="90"/>
    </row>
    <row r="59" spans="1:15" s="5" customFormat="1" ht="12.75">
      <c r="A59" s="41" t="s">
        <v>88</v>
      </c>
      <c r="B59" s="42" t="s">
        <v>0</v>
      </c>
      <c r="C59" s="43">
        <v>90844</v>
      </c>
      <c r="D59" s="53" t="s">
        <v>139</v>
      </c>
      <c r="E59" s="2" t="s">
        <v>11</v>
      </c>
      <c r="F59" s="45">
        <v>867.73</v>
      </c>
      <c r="G59" s="46">
        <v>958.62</v>
      </c>
      <c r="H59" s="47">
        <v>19</v>
      </c>
      <c r="I59" s="46">
        <f>G59*H59</f>
        <v>18213.78</v>
      </c>
      <c r="J59" s="43" t="s">
        <v>8</v>
      </c>
      <c r="K59" s="43" t="s">
        <v>8</v>
      </c>
      <c r="L59" s="43" t="s">
        <v>8</v>
      </c>
      <c r="M59" s="43" t="s">
        <v>8</v>
      </c>
      <c r="N59" s="43" t="s">
        <v>8</v>
      </c>
      <c r="O59" s="43" t="s">
        <v>8</v>
      </c>
    </row>
    <row r="60" spans="1:15" s="5" customFormat="1" ht="12.75">
      <c r="A60" s="41" t="s">
        <v>89</v>
      </c>
      <c r="B60" s="42" t="s">
        <v>0</v>
      </c>
      <c r="C60" s="43">
        <v>90843</v>
      </c>
      <c r="D60" s="53" t="s">
        <v>140</v>
      </c>
      <c r="E60" s="2" t="s">
        <v>11</v>
      </c>
      <c r="F60" s="45">
        <v>835.78</v>
      </c>
      <c r="G60" s="46">
        <v>923.33</v>
      </c>
      <c r="H60" s="47">
        <v>17</v>
      </c>
      <c r="I60" s="46">
        <f>G60*H60</f>
        <v>15696.61</v>
      </c>
      <c r="J60" s="43" t="s">
        <v>8</v>
      </c>
      <c r="K60" s="43" t="s">
        <v>8</v>
      </c>
      <c r="L60" s="43" t="s">
        <v>8</v>
      </c>
      <c r="M60" s="43" t="s">
        <v>8</v>
      </c>
      <c r="N60" s="43" t="s">
        <v>8</v>
      </c>
      <c r="O60" s="43" t="s">
        <v>8</v>
      </c>
    </row>
    <row r="61" spans="1:15" s="5" customFormat="1" ht="22.5">
      <c r="A61" s="41" t="s">
        <v>90</v>
      </c>
      <c r="B61" s="42" t="s">
        <v>12</v>
      </c>
      <c r="C61" s="42">
        <v>3625</v>
      </c>
      <c r="D61" s="53" t="s">
        <v>197</v>
      </c>
      <c r="E61" s="2" t="s">
        <v>11</v>
      </c>
      <c r="F61" s="45">
        <v>604.65</v>
      </c>
      <c r="G61" s="46">
        <v>667.98</v>
      </c>
      <c r="H61" s="47">
        <v>10</v>
      </c>
      <c r="I61" s="46">
        <f t="shared" ref="I61:I68" si="2">G61*H61</f>
        <v>6679.8</v>
      </c>
      <c r="J61" s="43" t="s">
        <v>8</v>
      </c>
      <c r="K61" s="43" t="s">
        <v>8</v>
      </c>
      <c r="L61" s="43" t="s">
        <v>8</v>
      </c>
      <c r="M61" s="43" t="s">
        <v>8</v>
      </c>
      <c r="N61" s="43" t="s">
        <v>8</v>
      </c>
      <c r="O61" s="43" t="s">
        <v>8</v>
      </c>
    </row>
    <row r="62" spans="1:15" s="5" customFormat="1" ht="22.5">
      <c r="A62" s="41" t="s">
        <v>91</v>
      </c>
      <c r="B62" s="42" t="s">
        <v>12</v>
      </c>
      <c r="C62" s="43">
        <v>8375</v>
      </c>
      <c r="D62" s="53" t="s">
        <v>198</v>
      </c>
      <c r="E62" s="2" t="s">
        <v>11</v>
      </c>
      <c r="F62" s="45">
        <v>833.03</v>
      </c>
      <c r="G62" s="46">
        <v>920.28</v>
      </c>
      <c r="H62" s="47">
        <v>1</v>
      </c>
      <c r="I62" s="46">
        <f t="shared" si="2"/>
        <v>920.28</v>
      </c>
      <c r="J62" s="43" t="s">
        <v>8</v>
      </c>
      <c r="K62" s="43" t="s">
        <v>8</v>
      </c>
      <c r="L62" s="43" t="s">
        <v>8</v>
      </c>
      <c r="M62" s="43" t="s">
        <v>8</v>
      </c>
      <c r="N62" s="43" t="s">
        <v>8</v>
      </c>
      <c r="O62" s="43" t="s">
        <v>8</v>
      </c>
    </row>
    <row r="63" spans="1:15" s="5" customFormat="1" ht="22.5">
      <c r="A63" s="41" t="s">
        <v>315</v>
      </c>
      <c r="B63" s="42" t="s">
        <v>12</v>
      </c>
      <c r="C63" s="43">
        <v>11836</v>
      </c>
      <c r="D63" s="53" t="s">
        <v>199</v>
      </c>
      <c r="E63" s="2" t="s">
        <v>11</v>
      </c>
      <c r="F63" s="45">
        <v>822.46</v>
      </c>
      <c r="G63" s="46">
        <v>908.61</v>
      </c>
      <c r="H63" s="47">
        <v>1</v>
      </c>
      <c r="I63" s="46">
        <f t="shared" si="2"/>
        <v>908.61</v>
      </c>
      <c r="J63" s="43" t="s">
        <v>8</v>
      </c>
      <c r="K63" s="43" t="s">
        <v>8</v>
      </c>
      <c r="L63" s="43" t="s">
        <v>8</v>
      </c>
      <c r="M63" s="43" t="s">
        <v>8</v>
      </c>
      <c r="N63" s="43" t="s">
        <v>8</v>
      </c>
      <c r="O63" s="43" t="s">
        <v>8</v>
      </c>
    </row>
    <row r="64" spans="1:15" s="5" customFormat="1" ht="12.75">
      <c r="A64" s="41" t="s">
        <v>316</v>
      </c>
      <c r="B64" s="42" t="s">
        <v>12</v>
      </c>
      <c r="C64" s="43">
        <v>11948</v>
      </c>
      <c r="D64" s="53" t="s">
        <v>200</v>
      </c>
      <c r="E64" s="43" t="s">
        <v>16</v>
      </c>
      <c r="F64" s="45">
        <v>310.32</v>
      </c>
      <c r="G64" s="46">
        <v>342.81</v>
      </c>
      <c r="H64" s="47">
        <v>7.44</v>
      </c>
      <c r="I64" s="46">
        <f t="shared" si="2"/>
        <v>2550.5064000000002</v>
      </c>
      <c r="J64" s="43" t="s">
        <v>8</v>
      </c>
      <c r="K64" s="43" t="s">
        <v>8</v>
      </c>
      <c r="L64" s="43" t="s">
        <v>8</v>
      </c>
      <c r="M64" s="43" t="s">
        <v>8</v>
      </c>
      <c r="N64" s="43" t="s">
        <v>8</v>
      </c>
      <c r="O64" s="43" t="s">
        <v>8</v>
      </c>
    </row>
    <row r="65" spans="1:15" s="5" customFormat="1" ht="22.5">
      <c r="A65" s="41" t="s">
        <v>317</v>
      </c>
      <c r="B65" s="42" t="s">
        <v>12</v>
      </c>
      <c r="C65" s="43">
        <v>8970</v>
      </c>
      <c r="D65" s="53" t="s">
        <v>201</v>
      </c>
      <c r="E65" s="43" t="s">
        <v>16</v>
      </c>
      <c r="F65" s="45">
        <v>54.46</v>
      </c>
      <c r="G65" s="46">
        <v>60.16</v>
      </c>
      <c r="H65" s="47">
        <v>5.04</v>
      </c>
      <c r="I65" s="46">
        <f t="shared" si="2"/>
        <v>303.20639999999997</v>
      </c>
      <c r="J65" s="43" t="s">
        <v>8</v>
      </c>
      <c r="K65" s="43" t="s">
        <v>8</v>
      </c>
      <c r="L65" s="43" t="s">
        <v>8</v>
      </c>
      <c r="M65" s="43" t="s">
        <v>8</v>
      </c>
      <c r="N65" s="43" t="s">
        <v>8</v>
      </c>
      <c r="O65" s="43" t="s">
        <v>8</v>
      </c>
    </row>
    <row r="66" spans="1:15" s="5" customFormat="1" ht="12.75">
      <c r="A66" s="41" t="s">
        <v>318</v>
      </c>
      <c r="B66" s="42" t="s">
        <v>0</v>
      </c>
      <c r="C66" s="43" t="s">
        <v>63</v>
      </c>
      <c r="D66" s="53" t="s">
        <v>141</v>
      </c>
      <c r="E66" s="43" t="s">
        <v>16</v>
      </c>
      <c r="F66" s="45">
        <v>515.16999999999996</v>
      </c>
      <c r="G66" s="46">
        <v>569.13</v>
      </c>
      <c r="H66" s="56">
        <v>1.68</v>
      </c>
      <c r="I66" s="46">
        <f t="shared" si="2"/>
        <v>956.13839999999993</v>
      </c>
      <c r="J66" s="43" t="s">
        <v>8</v>
      </c>
      <c r="K66" s="43" t="s">
        <v>8</v>
      </c>
      <c r="L66" s="43" t="s">
        <v>8</v>
      </c>
      <c r="M66" s="43" t="s">
        <v>8</v>
      </c>
      <c r="N66" s="43" t="s">
        <v>8</v>
      </c>
      <c r="O66" s="43" t="s">
        <v>8</v>
      </c>
    </row>
    <row r="67" spans="1:15" s="5" customFormat="1" ht="22.5">
      <c r="A67" s="41" t="s">
        <v>319</v>
      </c>
      <c r="B67" s="42" t="s">
        <v>0</v>
      </c>
      <c r="C67" s="43" t="s">
        <v>64</v>
      </c>
      <c r="D67" s="53" t="s">
        <v>65</v>
      </c>
      <c r="E67" s="43" t="s">
        <v>16</v>
      </c>
      <c r="F67" s="45">
        <v>488.35</v>
      </c>
      <c r="G67" s="46">
        <v>539.5</v>
      </c>
      <c r="H67" s="47">
        <v>11.61</v>
      </c>
      <c r="I67" s="46">
        <f t="shared" si="2"/>
        <v>6263.5949999999993</v>
      </c>
      <c r="J67" s="43" t="s">
        <v>8</v>
      </c>
      <c r="K67" s="43" t="s">
        <v>8</v>
      </c>
      <c r="L67" s="43" t="s">
        <v>8</v>
      </c>
      <c r="M67" s="43" t="s">
        <v>8</v>
      </c>
      <c r="N67" s="43" t="s">
        <v>8</v>
      </c>
      <c r="O67" s="43" t="s">
        <v>8</v>
      </c>
    </row>
    <row r="68" spans="1:15" s="5" customFormat="1" ht="22.5">
      <c r="A68" s="41" t="s">
        <v>320</v>
      </c>
      <c r="B68" s="42" t="s">
        <v>12</v>
      </c>
      <c r="C68" s="43">
        <v>11556</v>
      </c>
      <c r="D68" s="44" t="s">
        <v>202</v>
      </c>
      <c r="E68" s="43" t="s">
        <v>16</v>
      </c>
      <c r="F68" s="45">
        <v>355</v>
      </c>
      <c r="G68" s="46">
        <v>392.18</v>
      </c>
      <c r="H68" s="47">
        <v>9.0299999999999994</v>
      </c>
      <c r="I68" s="46">
        <f t="shared" si="2"/>
        <v>3541.3853999999997</v>
      </c>
      <c r="J68" s="43" t="s">
        <v>8</v>
      </c>
      <c r="K68" s="43" t="s">
        <v>8</v>
      </c>
      <c r="L68" s="43" t="s">
        <v>8</v>
      </c>
      <c r="M68" s="43" t="s">
        <v>8</v>
      </c>
      <c r="N68" s="43" t="s">
        <v>8</v>
      </c>
      <c r="O68" s="43" t="s">
        <v>8</v>
      </c>
    </row>
    <row r="69" spans="1:15" s="5" customFormat="1" ht="12.75">
      <c r="A69" s="35" t="s">
        <v>60</v>
      </c>
      <c r="B69" s="36"/>
      <c r="C69" s="37"/>
      <c r="D69" s="38" t="s">
        <v>243</v>
      </c>
      <c r="E69" s="32"/>
      <c r="F69" s="9"/>
      <c r="G69" s="46"/>
      <c r="H69" s="8"/>
      <c r="I69" s="87">
        <f>I70</f>
        <v>477.42719999999997</v>
      </c>
      <c r="J69" s="8"/>
      <c r="K69" s="88"/>
      <c r="L69" s="89"/>
      <c r="M69" s="8"/>
      <c r="N69" s="88"/>
      <c r="O69" s="37"/>
    </row>
    <row r="70" spans="1:15" s="5" customFormat="1" ht="22.5">
      <c r="A70" s="41" t="s">
        <v>92</v>
      </c>
      <c r="B70" s="42" t="s">
        <v>12</v>
      </c>
      <c r="C70" s="43">
        <v>1766</v>
      </c>
      <c r="D70" s="44" t="s">
        <v>204</v>
      </c>
      <c r="E70" s="43" t="s">
        <v>16</v>
      </c>
      <c r="F70" s="45">
        <v>450.17</v>
      </c>
      <c r="G70" s="46">
        <v>497.32</v>
      </c>
      <c r="H70" s="47">
        <v>0.96</v>
      </c>
      <c r="I70" s="46">
        <f>G70*H70</f>
        <v>477.42719999999997</v>
      </c>
      <c r="J70" s="43" t="s">
        <v>8</v>
      </c>
      <c r="K70" s="43" t="s">
        <v>8</v>
      </c>
      <c r="L70" s="43" t="s">
        <v>8</v>
      </c>
      <c r="M70" s="43" t="s">
        <v>8</v>
      </c>
      <c r="N70" s="43" t="s">
        <v>8</v>
      </c>
      <c r="O70" s="43" t="s">
        <v>8</v>
      </c>
    </row>
    <row r="71" spans="1:15" s="5" customFormat="1" ht="12.75">
      <c r="A71" s="35" t="s">
        <v>61</v>
      </c>
      <c r="B71" s="36"/>
      <c r="C71" s="37"/>
      <c r="D71" s="38" t="s">
        <v>244</v>
      </c>
      <c r="E71" s="32"/>
      <c r="F71" s="9"/>
      <c r="G71" s="46"/>
      <c r="H71" s="8"/>
      <c r="I71" s="87">
        <f>I72</f>
        <v>499.71</v>
      </c>
      <c r="J71" s="8"/>
      <c r="K71" s="88"/>
      <c r="L71" s="89"/>
      <c r="M71" s="8"/>
      <c r="N71" s="88"/>
      <c r="O71" s="37"/>
    </row>
    <row r="72" spans="1:15" s="5" customFormat="1" ht="12.75">
      <c r="A72" s="41" t="s">
        <v>94</v>
      </c>
      <c r="B72" s="42" t="s">
        <v>12</v>
      </c>
      <c r="C72" s="43">
        <v>3731</v>
      </c>
      <c r="D72" s="44" t="s">
        <v>203</v>
      </c>
      <c r="E72" s="43" t="s">
        <v>16</v>
      </c>
      <c r="F72" s="45">
        <v>452.33</v>
      </c>
      <c r="G72" s="46">
        <v>499.71</v>
      </c>
      <c r="H72" s="47">
        <v>1</v>
      </c>
      <c r="I72" s="46">
        <f>G72*H72</f>
        <v>499.71</v>
      </c>
      <c r="J72" s="43" t="s">
        <v>8</v>
      </c>
      <c r="K72" s="43" t="s">
        <v>8</v>
      </c>
      <c r="L72" s="43" t="s">
        <v>8</v>
      </c>
      <c r="M72" s="43" t="s">
        <v>8</v>
      </c>
      <c r="N72" s="43" t="s">
        <v>8</v>
      </c>
      <c r="O72" s="43" t="s">
        <v>8</v>
      </c>
    </row>
    <row r="73" spans="1:15" s="12" customFormat="1" ht="12.75">
      <c r="A73" s="57">
        <v>8</v>
      </c>
      <c r="B73" s="34"/>
      <c r="C73" s="34"/>
      <c r="D73" s="57" t="s">
        <v>142</v>
      </c>
      <c r="E73" s="79"/>
      <c r="F73" s="80"/>
      <c r="G73" s="81"/>
      <c r="H73" s="80"/>
      <c r="I73" s="82">
        <f>SUM(I74,I89,I94,I113,I118)</f>
        <v>78903.090000000011</v>
      </c>
      <c r="J73" s="80"/>
      <c r="K73" s="83"/>
      <c r="L73" s="84"/>
      <c r="M73" s="85"/>
      <c r="N73" s="83"/>
      <c r="O73" s="86"/>
    </row>
    <row r="74" spans="1:15" s="5" customFormat="1" ht="12.75">
      <c r="A74" s="35" t="s">
        <v>96</v>
      </c>
      <c r="B74" s="36"/>
      <c r="C74" s="37"/>
      <c r="D74" s="38" t="s">
        <v>143</v>
      </c>
      <c r="E74" s="32"/>
      <c r="F74" s="9"/>
      <c r="G74" s="11"/>
      <c r="H74" s="8"/>
      <c r="I74" s="87">
        <f>SUM(I75:I88)</f>
        <v>8343.64</v>
      </c>
      <c r="J74" s="8"/>
      <c r="K74" s="88"/>
      <c r="L74" s="89"/>
      <c r="M74" s="8"/>
      <c r="N74" s="88"/>
      <c r="O74" s="90"/>
    </row>
    <row r="75" spans="1:15" s="5" customFormat="1" ht="22.5">
      <c r="A75" s="41" t="s">
        <v>122</v>
      </c>
      <c r="B75" s="42" t="s">
        <v>0</v>
      </c>
      <c r="C75" s="43">
        <v>95635</v>
      </c>
      <c r="D75" s="53" t="s">
        <v>121</v>
      </c>
      <c r="E75" s="2" t="s">
        <v>11</v>
      </c>
      <c r="F75" s="45">
        <v>123.87</v>
      </c>
      <c r="G75" s="46">
        <v>136.83000000000001</v>
      </c>
      <c r="H75" s="47">
        <v>1</v>
      </c>
      <c r="I75" s="46">
        <f>G75*H75</f>
        <v>136.83000000000001</v>
      </c>
      <c r="J75" s="43" t="s">
        <v>8</v>
      </c>
      <c r="K75" s="43" t="s">
        <v>8</v>
      </c>
      <c r="L75" s="43" t="s">
        <v>8</v>
      </c>
      <c r="M75" s="43" t="s">
        <v>8</v>
      </c>
      <c r="N75" s="43" t="s">
        <v>8</v>
      </c>
      <c r="O75" s="43" t="s">
        <v>8</v>
      </c>
    </row>
    <row r="76" spans="1:15" s="5" customFormat="1" ht="12.75">
      <c r="A76" s="41" t="s">
        <v>124</v>
      </c>
      <c r="B76" s="42" t="s">
        <v>0</v>
      </c>
      <c r="C76" s="43">
        <v>95675</v>
      </c>
      <c r="D76" s="53" t="s">
        <v>123</v>
      </c>
      <c r="E76" s="2" t="s">
        <v>11</v>
      </c>
      <c r="F76" s="45">
        <v>180.69</v>
      </c>
      <c r="G76" s="46">
        <v>199.62</v>
      </c>
      <c r="H76" s="47">
        <v>1</v>
      </c>
      <c r="I76" s="46">
        <f t="shared" ref="I76:I88" si="3">G76*H76</f>
        <v>199.62</v>
      </c>
      <c r="J76" s="43" t="s">
        <v>8</v>
      </c>
      <c r="K76" s="43" t="s">
        <v>8</v>
      </c>
      <c r="L76" s="43" t="s">
        <v>8</v>
      </c>
      <c r="M76" s="43" t="s">
        <v>8</v>
      </c>
      <c r="N76" s="43" t="s">
        <v>8</v>
      </c>
      <c r="O76" s="43" t="s">
        <v>8</v>
      </c>
    </row>
    <row r="77" spans="1:15" s="5" customFormat="1" ht="12.75">
      <c r="A77" s="41" t="s">
        <v>126</v>
      </c>
      <c r="B77" s="42" t="s">
        <v>0</v>
      </c>
      <c r="C77" s="43">
        <v>95676</v>
      </c>
      <c r="D77" s="53" t="s">
        <v>125</v>
      </c>
      <c r="E77" s="2" t="s">
        <v>11</v>
      </c>
      <c r="F77" s="45">
        <v>69.05</v>
      </c>
      <c r="G77" s="46">
        <v>76.27</v>
      </c>
      <c r="H77" s="47">
        <v>1</v>
      </c>
      <c r="I77" s="46">
        <f t="shared" si="3"/>
        <v>76.27</v>
      </c>
      <c r="J77" s="43" t="s">
        <v>8</v>
      </c>
      <c r="K77" s="43" t="s">
        <v>8</v>
      </c>
      <c r="L77" s="43" t="s">
        <v>8</v>
      </c>
      <c r="M77" s="43" t="s">
        <v>8</v>
      </c>
      <c r="N77" s="43" t="s">
        <v>8</v>
      </c>
      <c r="O77" s="43" t="s">
        <v>8</v>
      </c>
    </row>
    <row r="78" spans="1:15" s="5" customFormat="1" ht="33.75">
      <c r="A78" s="41" t="s">
        <v>144</v>
      </c>
      <c r="B78" s="42" t="s">
        <v>9</v>
      </c>
      <c r="C78" s="43">
        <v>96</v>
      </c>
      <c r="D78" s="53" t="s">
        <v>145</v>
      </c>
      <c r="E78" s="2" t="s">
        <v>11</v>
      </c>
      <c r="F78" s="45">
        <v>7.5</v>
      </c>
      <c r="G78" s="46">
        <v>8.2799999999999994</v>
      </c>
      <c r="H78" s="47">
        <v>8</v>
      </c>
      <c r="I78" s="46">
        <f t="shared" si="3"/>
        <v>66.239999999999995</v>
      </c>
      <c r="J78" s="43" t="s">
        <v>8</v>
      </c>
      <c r="K78" s="43" t="s">
        <v>8</v>
      </c>
      <c r="L78" s="43" t="s">
        <v>8</v>
      </c>
      <c r="M78" s="43" t="s">
        <v>8</v>
      </c>
      <c r="N78" s="43" t="s">
        <v>8</v>
      </c>
      <c r="O78" s="43" t="s">
        <v>8</v>
      </c>
    </row>
    <row r="79" spans="1:15" s="5" customFormat="1" ht="12.75">
      <c r="A79" s="41" t="s">
        <v>146</v>
      </c>
      <c r="B79" s="42" t="s">
        <v>0</v>
      </c>
      <c r="C79" s="43">
        <v>85195</v>
      </c>
      <c r="D79" s="53" t="s">
        <v>147</v>
      </c>
      <c r="E79" s="2" t="s">
        <v>11</v>
      </c>
      <c r="F79" s="45">
        <v>74.64</v>
      </c>
      <c r="G79" s="46">
        <v>82.45</v>
      </c>
      <c r="H79" s="47">
        <v>4</v>
      </c>
      <c r="I79" s="46">
        <f t="shared" si="3"/>
        <v>329.8</v>
      </c>
      <c r="J79" s="43" t="s">
        <v>8</v>
      </c>
      <c r="K79" s="43" t="s">
        <v>8</v>
      </c>
      <c r="L79" s="43" t="s">
        <v>8</v>
      </c>
      <c r="M79" s="43" t="s">
        <v>8</v>
      </c>
      <c r="N79" s="43" t="s">
        <v>8</v>
      </c>
      <c r="O79" s="43" t="s">
        <v>8</v>
      </c>
    </row>
    <row r="80" spans="1:15" s="5" customFormat="1" ht="22.5">
      <c r="A80" s="41" t="s">
        <v>148</v>
      </c>
      <c r="B80" s="42" t="s">
        <v>0</v>
      </c>
      <c r="C80" s="43">
        <v>91784</v>
      </c>
      <c r="D80" s="44" t="s">
        <v>149</v>
      </c>
      <c r="E80" s="43" t="s">
        <v>13</v>
      </c>
      <c r="F80" s="45">
        <v>33.17</v>
      </c>
      <c r="G80" s="46">
        <v>36.64</v>
      </c>
      <c r="H80" s="47">
        <v>35</v>
      </c>
      <c r="I80" s="46">
        <f t="shared" si="3"/>
        <v>1282.4000000000001</v>
      </c>
      <c r="J80" s="43" t="s">
        <v>8</v>
      </c>
      <c r="K80" s="43" t="s">
        <v>8</v>
      </c>
      <c r="L80" s="43" t="s">
        <v>8</v>
      </c>
      <c r="M80" s="43" t="s">
        <v>8</v>
      </c>
      <c r="N80" s="43" t="s">
        <v>8</v>
      </c>
      <c r="O80" s="43" t="s">
        <v>8</v>
      </c>
    </row>
    <row r="81" spans="1:15" s="5" customFormat="1" ht="22.5">
      <c r="A81" s="41" t="s">
        <v>150</v>
      </c>
      <c r="B81" s="42" t="s">
        <v>0</v>
      </c>
      <c r="C81" s="43">
        <v>91785</v>
      </c>
      <c r="D81" s="44" t="s">
        <v>151</v>
      </c>
      <c r="E81" s="43" t="s">
        <v>13</v>
      </c>
      <c r="F81" s="45">
        <v>32.659999999999997</v>
      </c>
      <c r="G81" s="46">
        <v>36.07</v>
      </c>
      <c r="H81" s="47">
        <v>70</v>
      </c>
      <c r="I81" s="46">
        <f t="shared" si="3"/>
        <v>2524.9</v>
      </c>
      <c r="J81" s="43" t="s">
        <v>8</v>
      </c>
      <c r="K81" s="43" t="s">
        <v>8</v>
      </c>
      <c r="L81" s="43" t="s">
        <v>8</v>
      </c>
      <c r="M81" s="43" t="s">
        <v>8</v>
      </c>
      <c r="N81" s="43" t="s">
        <v>8</v>
      </c>
      <c r="O81" s="43" t="s">
        <v>8</v>
      </c>
    </row>
    <row r="82" spans="1:15" s="5" customFormat="1" ht="22.5">
      <c r="A82" s="41" t="s">
        <v>152</v>
      </c>
      <c r="B82" s="42" t="s">
        <v>0</v>
      </c>
      <c r="C82" s="43">
        <v>91787</v>
      </c>
      <c r="D82" s="44" t="s">
        <v>153</v>
      </c>
      <c r="E82" s="43" t="s">
        <v>13</v>
      </c>
      <c r="F82" s="45">
        <v>21.14</v>
      </c>
      <c r="G82" s="46">
        <v>23.34</v>
      </c>
      <c r="H82" s="47">
        <v>12.5</v>
      </c>
      <c r="I82" s="46">
        <f t="shared" si="3"/>
        <v>291.75</v>
      </c>
      <c r="J82" s="43" t="s">
        <v>8</v>
      </c>
      <c r="K82" s="43" t="s">
        <v>8</v>
      </c>
      <c r="L82" s="43" t="s">
        <v>8</v>
      </c>
      <c r="M82" s="43" t="s">
        <v>8</v>
      </c>
      <c r="N82" s="43" t="s">
        <v>8</v>
      </c>
      <c r="O82" s="43" t="s">
        <v>8</v>
      </c>
    </row>
    <row r="83" spans="1:15" s="5" customFormat="1" ht="22.5">
      <c r="A83" s="41" t="s">
        <v>154</v>
      </c>
      <c r="B83" s="42" t="s">
        <v>0</v>
      </c>
      <c r="C83" s="43">
        <v>94494</v>
      </c>
      <c r="D83" s="53" t="s">
        <v>155</v>
      </c>
      <c r="E83" s="2" t="s">
        <v>11</v>
      </c>
      <c r="F83" s="45">
        <v>67.8</v>
      </c>
      <c r="G83" s="46">
        <v>74.900000000000006</v>
      </c>
      <c r="H83" s="47">
        <v>8</v>
      </c>
      <c r="I83" s="46">
        <f t="shared" si="3"/>
        <v>599.20000000000005</v>
      </c>
      <c r="J83" s="43" t="s">
        <v>8</v>
      </c>
      <c r="K83" s="43" t="s">
        <v>8</v>
      </c>
      <c r="L83" s="43" t="s">
        <v>8</v>
      </c>
      <c r="M83" s="43" t="s">
        <v>8</v>
      </c>
      <c r="N83" s="43" t="s">
        <v>8</v>
      </c>
      <c r="O83" s="43" t="s">
        <v>8</v>
      </c>
    </row>
    <row r="84" spans="1:15" s="5" customFormat="1" ht="22.5">
      <c r="A84" s="41" t="s">
        <v>156</v>
      </c>
      <c r="B84" s="42" t="s">
        <v>0</v>
      </c>
      <c r="C84" s="43">
        <v>89986</v>
      </c>
      <c r="D84" s="53" t="s">
        <v>157</v>
      </c>
      <c r="E84" s="2" t="s">
        <v>11</v>
      </c>
      <c r="F84" s="45">
        <v>94.32</v>
      </c>
      <c r="G84" s="46">
        <v>104.2</v>
      </c>
      <c r="H84" s="47">
        <v>5</v>
      </c>
      <c r="I84" s="46">
        <f t="shared" si="3"/>
        <v>521</v>
      </c>
      <c r="J84" s="43" t="s">
        <v>8</v>
      </c>
      <c r="K84" s="43" t="s">
        <v>8</v>
      </c>
      <c r="L84" s="43" t="s">
        <v>8</v>
      </c>
      <c r="M84" s="43" t="s">
        <v>8</v>
      </c>
      <c r="N84" s="43" t="s">
        <v>8</v>
      </c>
      <c r="O84" s="43" t="s">
        <v>8</v>
      </c>
    </row>
    <row r="85" spans="1:15" s="5" customFormat="1" ht="22.5">
      <c r="A85" s="41" t="s">
        <v>158</v>
      </c>
      <c r="B85" s="42" t="s">
        <v>0</v>
      </c>
      <c r="C85" s="43">
        <v>89987</v>
      </c>
      <c r="D85" s="53" t="s">
        <v>159</v>
      </c>
      <c r="E85" s="2" t="s">
        <v>11</v>
      </c>
      <c r="F85" s="45">
        <v>105.11</v>
      </c>
      <c r="G85" s="46">
        <v>116.11</v>
      </c>
      <c r="H85" s="47">
        <v>15</v>
      </c>
      <c r="I85" s="46">
        <f t="shared" si="3"/>
        <v>1741.65</v>
      </c>
      <c r="J85" s="43" t="s">
        <v>8</v>
      </c>
      <c r="K85" s="43" t="s">
        <v>8</v>
      </c>
      <c r="L85" s="43" t="s">
        <v>8</v>
      </c>
      <c r="M85" s="43" t="s">
        <v>8</v>
      </c>
      <c r="N85" s="43" t="s">
        <v>8</v>
      </c>
      <c r="O85" s="43" t="s">
        <v>8</v>
      </c>
    </row>
    <row r="86" spans="1:15" s="5" customFormat="1" ht="22.5">
      <c r="A86" s="41" t="s">
        <v>160</v>
      </c>
      <c r="B86" s="42" t="s">
        <v>0</v>
      </c>
      <c r="C86" s="43">
        <v>89984</v>
      </c>
      <c r="D86" s="53" t="s">
        <v>161</v>
      </c>
      <c r="E86" s="2" t="s">
        <v>11</v>
      </c>
      <c r="F86" s="45">
        <v>96.79</v>
      </c>
      <c r="G86" s="46">
        <v>106.92</v>
      </c>
      <c r="H86" s="47">
        <v>2</v>
      </c>
      <c r="I86" s="46">
        <f t="shared" si="3"/>
        <v>213.84</v>
      </c>
      <c r="J86" s="43" t="s">
        <v>8</v>
      </c>
      <c r="K86" s="43" t="s">
        <v>8</v>
      </c>
      <c r="L86" s="43" t="s">
        <v>8</v>
      </c>
      <c r="M86" s="43" t="s">
        <v>8</v>
      </c>
      <c r="N86" s="43" t="s">
        <v>8</v>
      </c>
      <c r="O86" s="43" t="s">
        <v>8</v>
      </c>
    </row>
    <row r="87" spans="1:15" s="5" customFormat="1" ht="22.5">
      <c r="A87" s="41" t="s">
        <v>162</v>
      </c>
      <c r="B87" s="42" t="s">
        <v>0</v>
      </c>
      <c r="C87" s="43">
        <v>89985</v>
      </c>
      <c r="D87" s="53" t="s">
        <v>163</v>
      </c>
      <c r="E87" s="2" t="s">
        <v>11</v>
      </c>
      <c r="F87" s="45">
        <v>99.71</v>
      </c>
      <c r="G87" s="46">
        <v>110.15</v>
      </c>
      <c r="H87" s="47">
        <v>1</v>
      </c>
      <c r="I87" s="46">
        <f t="shared" si="3"/>
        <v>110.15</v>
      </c>
      <c r="J87" s="43" t="s">
        <v>8</v>
      </c>
      <c r="K87" s="43" t="s">
        <v>8</v>
      </c>
      <c r="L87" s="43" t="s">
        <v>8</v>
      </c>
      <c r="M87" s="43" t="s">
        <v>8</v>
      </c>
      <c r="N87" s="43" t="s">
        <v>8</v>
      </c>
      <c r="O87" s="43" t="s">
        <v>8</v>
      </c>
    </row>
    <row r="88" spans="1:15" s="5" customFormat="1" ht="22.5">
      <c r="A88" s="41" t="s">
        <v>164</v>
      </c>
      <c r="B88" s="42" t="s">
        <v>0</v>
      </c>
      <c r="C88" s="43">
        <v>99635</v>
      </c>
      <c r="D88" s="53" t="s">
        <v>165</v>
      </c>
      <c r="E88" s="2" t="s">
        <v>11</v>
      </c>
      <c r="F88" s="45">
        <v>226.29</v>
      </c>
      <c r="G88" s="46">
        <v>249.99</v>
      </c>
      <c r="H88" s="47">
        <v>1</v>
      </c>
      <c r="I88" s="46">
        <f t="shared" si="3"/>
        <v>249.99</v>
      </c>
      <c r="J88" s="43" t="s">
        <v>8</v>
      </c>
      <c r="K88" s="43" t="s">
        <v>8</v>
      </c>
      <c r="L88" s="43" t="s">
        <v>8</v>
      </c>
      <c r="M88" s="43" t="s">
        <v>8</v>
      </c>
      <c r="N88" s="43" t="s">
        <v>8</v>
      </c>
      <c r="O88" s="43" t="s">
        <v>8</v>
      </c>
    </row>
    <row r="89" spans="1:15" s="5" customFormat="1" ht="12.75">
      <c r="A89" s="35" t="s">
        <v>102</v>
      </c>
      <c r="B89" s="36"/>
      <c r="C89" s="37"/>
      <c r="D89" s="38" t="s">
        <v>166</v>
      </c>
      <c r="E89" s="32"/>
      <c r="F89" s="9"/>
      <c r="G89" s="46"/>
      <c r="H89" s="8"/>
      <c r="I89" s="87">
        <f>SUM(I90:I93)</f>
        <v>20994.699999999997</v>
      </c>
      <c r="J89" s="8"/>
      <c r="K89" s="88"/>
      <c r="L89" s="89"/>
      <c r="M89" s="8"/>
      <c r="N89" s="88"/>
      <c r="O89" s="90"/>
    </row>
    <row r="90" spans="1:15" s="5" customFormat="1" ht="22.5">
      <c r="A90" s="41" t="s">
        <v>108</v>
      </c>
      <c r="B90" s="42" t="s">
        <v>0</v>
      </c>
      <c r="C90" s="43">
        <v>94228</v>
      </c>
      <c r="D90" s="53" t="s">
        <v>167</v>
      </c>
      <c r="E90" s="43" t="s">
        <v>13</v>
      </c>
      <c r="F90" s="45">
        <v>57.82</v>
      </c>
      <c r="G90" s="46">
        <v>63.87</v>
      </c>
      <c r="H90" s="47">
        <v>20</v>
      </c>
      <c r="I90" s="46">
        <f>G90*H90</f>
        <v>1277.3999999999999</v>
      </c>
      <c r="J90" s="43" t="s">
        <v>8</v>
      </c>
      <c r="K90" s="43" t="s">
        <v>8</v>
      </c>
      <c r="L90" s="43" t="s">
        <v>8</v>
      </c>
      <c r="M90" s="43" t="s">
        <v>8</v>
      </c>
      <c r="N90" s="43" t="s">
        <v>8</v>
      </c>
      <c r="O90" s="43" t="s">
        <v>8</v>
      </c>
    </row>
    <row r="91" spans="1:15" s="5" customFormat="1" ht="22.5">
      <c r="A91" s="41" t="s">
        <v>168</v>
      </c>
      <c r="B91" s="42" t="s">
        <v>0</v>
      </c>
      <c r="C91" s="43">
        <v>94229</v>
      </c>
      <c r="D91" s="53" t="s">
        <v>169</v>
      </c>
      <c r="E91" s="43" t="s">
        <v>13</v>
      </c>
      <c r="F91" s="45">
        <v>112.32</v>
      </c>
      <c r="G91" s="46">
        <v>124.08</v>
      </c>
      <c r="H91" s="47">
        <v>90</v>
      </c>
      <c r="I91" s="46">
        <f>G91*H91</f>
        <v>11167.2</v>
      </c>
      <c r="J91" s="43" t="s">
        <v>8</v>
      </c>
      <c r="K91" s="43" t="s">
        <v>8</v>
      </c>
      <c r="L91" s="43" t="s">
        <v>8</v>
      </c>
      <c r="M91" s="43" t="s">
        <v>8</v>
      </c>
      <c r="N91" s="43" t="s">
        <v>8</v>
      </c>
      <c r="O91" s="43" t="s">
        <v>8</v>
      </c>
    </row>
    <row r="92" spans="1:15" s="5" customFormat="1" ht="22.5">
      <c r="A92" s="41" t="s">
        <v>170</v>
      </c>
      <c r="B92" s="42" t="s">
        <v>0</v>
      </c>
      <c r="C92" s="43">
        <v>91790</v>
      </c>
      <c r="D92" s="53" t="s">
        <v>171</v>
      </c>
      <c r="E92" s="43" t="s">
        <v>13</v>
      </c>
      <c r="F92" s="45">
        <v>45.87</v>
      </c>
      <c r="G92" s="46">
        <v>50.67</v>
      </c>
      <c r="H92" s="47">
        <v>150</v>
      </c>
      <c r="I92" s="46">
        <f>G92*H92</f>
        <v>7600.5</v>
      </c>
      <c r="J92" s="43" t="s">
        <v>8</v>
      </c>
      <c r="K92" s="43" t="s">
        <v>8</v>
      </c>
      <c r="L92" s="43" t="s">
        <v>8</v>
      </c>
      <c r="M92" s="43" t="s">
        <v>8</v>
      </c>
      <c r="N92" s="43" t="s">
        <v>8</v>
      </c>
      <c r="O92" s="43" t="s">
        <v>8</v>
      </c>
    </row>
    <row r="93" spans="1:15" s="5" customFormat="1" ht="12.75">
      <c r="A93" s="41" t="s">
        <v>172</v>
      </c>
      <c r="B93" s="42" t="s">
        <v>0</v>
      </c>
      <c r="C93" s="43">
        <v>72285</v>
      </c>
      <c r="D93" s="53" t="s">
        <v>173</v>
      </c>
      <c r="E93" s="2" t="s">
        <v>11</v>
      </c>
      <c r="F93" s="45">
        <v>85.96</v>
      </c>
      <c r="G93" s="46">
        <v>94.96</v>
      </c>
      <c r="H93" s="47">
        <v>10</v>
      </c>
      <c r="I93" s="46">
        <f>G93*H93</f>
        <v>949.59999999999991</v>
      </c>
      <c r="J93" s="43" t="s">
        <v>8</v>
      </c>
      <c r="K93" s="43" t="s">
        <v>8</v>
      </c>
      <c r="L93" s="43" t="s">
        <v>8</v>
      </c>
      <c r="M93" s="43" t="s">
        <v>8</v>
      </c>
      <c r="N93" s="43" t="s">
        <v>8</v>
      </c>
      <c r="O93" s="43" t="s">
        <v>8</v>
      </c>
    </row>
    <row r="94" spans="1:15" s="5" customFormat="1" ht="12.75">
      <c r="A94" s="35" t="s">
        <v>103</v>
      </c>
      <c r="B94" s="36"/>
      <c r="C94" s="37"/>
      <c r="D94" s="38" t="s">
        <v>106</v>
      </c>
      <c r="E94" s="32"/>
      <c r="F94" s="9"/>
      <c r="G94" s="46"/>
      <c r="H94" s="8"/>
      <c r="I94" s="87">
        <f>SUM(I95:I112)</f>
        <v>40731.860000000008</v>
      </c>
      <c r="J94" s="8"/>
      <c r="K94" s="88"/>
      <c r="L94" s="89"/>
      <c r="M94" s="8"/>
      <c r="N94" s="88"/>
      <c r="O94" s="90"/>
    </row>
    <row r="95" spans="1:15" s="5" customFormat="1" ht="22.5">
      <c r="A95" s="41" t="s">
        <v>258</v>
      </c>
      <c r="B95" s="42" t="s">
        <v>0</v>
      </c>
      <c r="C95" s="43">
        <v>83397</v>
      </c>
      <c r="D95" s="53" t="s">
        <v>290</v>
      </c>
      <c r="E95" s="2" t="s">
        <v>11</v>
      </c>
      <c r="F95" s="45">
        <v>1200.6400000000001</v>
      </c>
      <c r="G95" s="46">
        <v>1326.4</v>
      </c>
      <c r="H95" s="47">
        <v>1</v>
      </c>
      <c r="I95" s="46">
        <f>G95*H95</f>
        <v>1326.4</v>
      </c>
      <c r="J95" s="43" t="s">
        <v>8</v>
      </c>
      <c r="K95" s="43" t="s">
        <v>8</v>
      </c>
      <c r="L95" s="43" t="s">
        <v>8</v>
      </c>
      <c r="M95" s="43" t="s">
        <v>8</v>
      </c>
      <c r="N95" s="43" t="s">
        <v>8</v>
      </c>
      <c r="O95" s="43" t="s">
        <v>8</v>
      </c>
    </row>
    <row r="96" spans="1:15" s="5" customFormat="1" ht="22.5">
      <c r="A96" s="41" t="s">
        <v>259</v>
      </c>
      <c r="B96" s="42" t="s">
        <v>9</v>
      </c>
      <c r="C96" s="43">
        <v>1062</v>
      </c>
      <c r="D96" s="53" t="s">
        <v>293</v>
      </c>
      <c r="E96" s="2" t="s">
        <v>11</v>
      </c>
      <c r="F96" s="45">
        <v>148.30000000000001</v>
      </c>
      <c r="G96" s="46">
        <v>163.83000000000001</v>
      </c>
      <c r="H96" s="47">
        <v>1</v>
      </c>
      <c r="I96" s="46">
        <f t="shared" ref="I96:I112" si="4">G96*H96</f>
        <v>163.83000000000001</v>
      </c>
      <c r="J96" s="43" t="s">
        <v>8</v>
      </c>
      <c r="K96" s="43" t="s">
        <v>8</v>
      </c>
      <c r="L96" s="43" t="s">
        <v>8</v>
      </c>
      <c r="M96" s="43" t="s">
        <v>8</v>
      </c>
      <c r="N96" s="43" t="s">
        <v>8</v>
      </c>
      <c r="O96" s="43" t="s">
        <v>8</v>
      </c>
    </row>
    <row r="97" spans="1:15" s="5" customFormat="1" ht="12.75">
      <c r="A97" s="41" t="s">
        <v>272</v>
      </c>
      <c r="B97" s="42" t="s">
        <v>0</v>
      </c>
      <c r="C97" s="43">
        <v>92986</v>
      </c>
      <c r="D97" s="53" t="s">
        <v>291</v>
      </c>
      <c r="E97" s="43" t="s">
        <v>13</v>
      </c>
      <c r="F97" s="45">
        <v>31.91</v>
      </c>
      <c r="G97" s="46">
        <v>35.24</v>
      </c>
      <c r="H97" s="47">
        <v>80</v>
      </c>
      <c r="I97" s="46">
        <f t="shared" si="4"/>
        <v>2819.2000000000003</v>
      </c>
      <c r="J97" s="43" t="s">
        <v>8</v>
      </c>
      <c r="K97" s="43" t="s">
        <v>8</v>
      </c>
      <c r="L97" s="43" t="s">
        <v>8</v>
      </c>
      <c r="M97" s="43" t="s">
        <v>8</v>
      </c>
      <c r="N97" s="43" t="s">
        <v>8</v>
      </c>
      <c r="O97" s="43" t="s">
        <v>8</v>
      </c>
    </row>
    <row r="98" spans="1:15" s="5" customFormat="1" ht="12.75">
      <c r="A98" s="41" t="s">
        <v>273</v>
      </c>
      <c r="B98" s="42" t="s">
        <v>0</v>
      </c>
      <c r="C98" s="43">
        <v>92984</v>
      </c>
      <c r="D98" s="53" t="s">
        <v>292</v>
      </c>
      <c r="E98" s="43" t="s">
        <v>13</v>
      </c>
      <c r="F98" s="45">
        <v>16.350000000000001</v>
      </c>
      <c r="G98" s="46">
        <v>18.059999999999999</v>
      </c>
      <c r="H98" s="47">
        <v>20</v>
      </c>
      <c r="I98" s="46">
        <f t="shared" si="4"/>
        <v>361.2</v>
      </c>
      <c r="J98" s="43" t="s">
        <v>8</v>
      </c>
      <c r="K98" s="43" t="s">
        <v>8</v>
      </c>
      <c r="L98" s="43" t="s">
        <v>8</v>
      </c>
      <c r="M98" s="43" t="s">
        <v>8</v>
      </c>
      <c r="N98" s="43" t="s">
        <v>8</v>
      </c>
      <c r="O98" s="43" t="s">
        <v>8</v>
      </c>
    </row>
    <row r="99" spans="1:15" s="5" customFormat="1" ht="12.75">
      <c r="A99" s="41" t="s">
        <v>274</v>
      </c>
      <c r="B99" s="42" t="s">
        <v>0</v>
      </c>
      <c r="C99" s="43">
        <v>92982</v>
      </c>
      <c r="D99" s="53" t="s">
        <v>296</v>
      </c>
      <c r="E99" s="43" t="s">
        <v>13</v>
      </c>
      <c r="F99" s="45">
        <v>9.66</v>
      </c>
      <c r="G99" s="46">
        <v>10.67</v>
      </c>
      <c r="H99" s="47">
        <v>30</v>
      </c>
      <c r="I99" s="46">
        <f t="shared" si="4"/>
        <v>320.10000000000002</v>
      </c>
      <c r="J99" s="43" t="s">
        <v>8</v>
      </c>
      <c r="K99" s="43" t="s">
        <v>8</v>
      </c>
      <c r="L99" s="43" t="s">
        <v>8</v>
      </c>
      <c r="M99" s="43" t="s">
        <v>8</v>
      </c>
      <c r="N99" s="43" t="s">
        <v>8</v>
      </c>
      <c r="O99" s="43" t="s">
        <v>8</v>
      </c>
    </row>
    <row r="100" spans="1:15" s="5" customFormat="1" ht="12.75">
      <c r="A100" s="41" t="s">
        <v>275</v>
      </c>
      <c r="B100" s="42" t="s">
        <v>0</v>
      </c>
      <c r="C100" s="43">
        <v>92980</v>
      </c>
      <c r="D100" s="53" t="s">
        <v>299</v>
      </c>
      <c r="E100" s="43" t="s">
        <v>13</v>
      </c>
      <c r="F100" s="45">
        <v>6.32</v>
      </c>
      <c r="G100" s="46">
        <v>6.98</v>
      </c>
      <c r="H100" s="47">
        <v>3</v>
      </c>
      <c r="I100" s="46">
        <f t="shared" si="4"/>
        <v>20.94</v>
      </c>
      <c r="J100" s="43" t="s">
        <v>8</v>
      </c>
      <c r="K100" s="43" t="s">
        <v>8</v>
      </c>
      <c r="L100" s="43" t="s">
        <v>8</v>
      </c>
      <c r="M100" s="43" t="s">
        <v>8</v>
      </c>
      <c r="N100" s="43" t="s">
        <v>8</v>
      </c>
      <c r="O100" s="43" t="s">
        <v>8</v>
      </c>
    </row>
    <row r="101" spans="1:15" s="5" customFormat="1" ht="12.75">
      <c r="A101" s="41" t="s">
        <v>276</v>
      </c>
      <c r="B101" s="42" t="s">
        <v>0</v>
      </c>
      <c r="C101" s="43">
        <v>91873</v>
      </c>
      <c r="D101" s="53" t="s">
        <v>297</v>
      </c>
      <c r="E101" s="2" t="s">
        <v>13</v>
      </c>
      <c r="F101" s="45">
        <v>14.98</v>
      </c>
      <c r="G101" s="46">
        <v>16.54</v>
      </c>
      <c r="H101" s="47">
        <v>20</v>
      </c>
      <c r="I101" s="46">
        <f t="shared" si="4"/>
        <v>330.79999999999995</v>
      </c>
      <c r="J101" s="43" t="s">
        <v>8</v>
      </c>
      <c r="K101" s="43" t="s">
        <v>8</v>
      </c>
      <c r="L101" s="43" t="s">
        <v>8</v>
      </c>
      <c r="M101" s="43" t="s">
        <v>8</v>
      </c>
      <c r="N101" s="43" t="s">
        <v>8</v>
      </c>
      <c r="O101" s="43" t="s">
        <v>8</v>
      </c>
    </row>
    <row r="102" spans="1:15" s="5" customFormat="1" ht="12.75">
      <c r="A102" s="41" t="s">
        <v>277</v>
      </c>
      <c r="B102" s="42" t="s">
        <v>0</v>
      </c>
      <c r="C102" s="43">
        <v>91870</v>
      </c>
      <c r="D102" s="53" t="s">
        <v>298</v>
      </c>
      <c r="E102" s="2" t="s">
        <v>13</v>
      </c>
      <c r="F102" s="45">
        <v>8.51</v>
      </c>
      <c r="G102" s="46">
        <v>9.39</v>
      </c>
      <c r="H102" s="47">
        <v>3</v>
      </c>
      <c r="I102" s="46">
        <f t="shared" si="4"/>
        <v>28.17</v>
      </c>
      <c r="J102" s="43" t="s">
        <v>8</v>
      </c>
      <c r="K102" s="43" t="s">
        <v>8</v>
      </c>
      <c r="L102" s="43" t="s">
        <v>8</v>
      </c>
      <c r="M102" s="43" t="s">
        <v>8</v>
      </c>
      <c r="N102" s="43" t="s">
        <v>8</v>
      </c>
      <c r="O102" s="43" t="s">
        <v>8</v>
      </c>
    </row>
    <row r="103" spans="1:15" s="5" customFormat="1" ht="22.5">
      <c r="A103" s="41" t="s">
        <v>278</v>
      </c>
      <c r="B103" s="42" t="s">
        <v>0</v>
      </c>
      <c r="C103" s="43">
        <v>97888</v>
      </c>
      <c r="D103" s="53" t="s">
        <v>289</v>
      </c>
      <c r="E103" s="2" t="s">
        <v>11</v>
      </c>
      <c r="F103" s="45">
        <v>397.47</v>
      </c>
      <c r="G103" s="46">
        <v>439.1</v>
      </c>
      <c r="H103" s="47">
        <v>2</v>
      </c>
      <c r="I103" s="46">
        <f t="shared" si="4"/>
        <v>878.2</v>
      </c>
      <c r="J103" s="43" t="s">
        <v>8</v>
      </c>
      <c r="K103" s="43" t="s">
        <v>8</v>
      </c>
      <c r="L103" s="43" t="s">
        <v>8</v>
      </c>
      <c r="M103" s="43" t="s">
        <v>8</v>
      </c>
      <c r="N103" s="43" t="s">
        <v>8</v>
      </c>
      <c r="O103" s="43" t="s">
        <v>8</v>
      </c>
    </row>
    <row r="104" spans="1:15" s="5" customFormat="1" ht="33.75">
      <c r="A104" s="41" t="s">
        <v>279</v>
      </c>
      <c r="B104" s="42" t="s">
        <v>0</v>
      </c>
      <c r="C104" s="43" t="s">
        <v>285</v>
      </c>
      <c r="D104" s="53" t="s">
        <v>284</v>
      </c>
      <c r="E104" s="2" t="s">
        <v>11</v>
      </c>
      <c r="F104" s="45">
        <v>981.86</v>
      </c>
      <c r="G104" s="46">
        <v>1084.7</v>
      </c>
      <c r="H104" s="47">
        <v>3</v>
      </c>
      <c r="I104" s="46">
        <f t="shared" si="4"/>
        <v>3254.1000000000004</v>
      </c>
      <c r="J104" s="43" t="s">
        <v>8</v>
      </c>
      <c r="K104" s="43" t="s">
        <v>8</v>
      </c>
      <c r="L104" s="43" t="s">
        <v>8</v>
      </c>
      <c r="M104" s="43" t="s">
        <v>8</v>
      </c>
      <c r="N104" s="43" t="s">
        <v>8</v>
      </c>
      <c r="O104" s="43" t="s">
        <v>8</v>
      </c>
    </row>
    <row r="105" spans="1:15" s="5" customFormat="1" ht="12.75">
      <c r="A105" s="41" t="s">
        <v>300</v>
      </c>
      <c r="B105" s="42" t="s">
        <v>0</v>
      </c>
      <c r="C105" s="43">
        <v>93654</v>
      </c>
      <c r="D105" s="53" t="s">
        <v>286</v>
      </c>
      <c r="E105" s="2" t="s">
        <v>11</v>
      </c>
      <c r="F105" s="45">
        <v>9.4</v>
      </c>
      <c r="G105" s="46">
        <v>10.37</v>
      </c>
      <c r="H105" s="47">
        <v>3</v>
      </c>
      <c r="I105" s="46">
        <f t="shared" si="4"/>
        <v>31.11</v>
      </c>
      <c r="J105" s="43" t="s">
        <v>8</v>
      </c>
      <c r="K105" s="43" t="s">
        <v>8</v>
      </c>
      <c r="L105" s="43" t="s">
        <v>8</v>
      </c>
      <c r="M105" s="43" t="s">
        <v>8</v>
      </c>
      <c r="N105" s="43" t="s">
        <v>8</v>
      </c>
      <c r="O105" s="43" t="s">
        <v>8</v>
      </c>
    </row>
    <row r="106" spans="1:15" s="5" customFormat="1" ht="12.75">
      <c r="A106" s="41" t="s">
        <v>301</v>
      </c>
      <c r="B106" s="42" t="s">
        <v>0</v>
      </c>
      <c r="C106" s="43">
        <v>93655</v>
      </c>
      <c r="D106" s="53" t="s">
        <v>287</v>
      </c>
      <c r="E106" s="2" t="s">
        <v>11</v>
      </c>
      <c r="F106" s="45">
        <v>10.33</v>
      </c>
      <c r="G106" s="46">
        <v>11.4</v>
      </c>
      <c r="H106" s="47">
        <v>35</v>
      </c>
      <c r="I106" s="46">
        <f t="shared" si="4"/>
        <v>399</v>
      </c>
      <c r="J106" s="43" t="s">
        <v>8</v>
      </c>
      <c r="K106" s="43" t="s">
        <v>8</v>
      </c>
      <c r="L106" s="43" t="s">
        <v>8</v>
      </c>
      <c r="M106" s="43" t="s">
        <v>8</v>
      </c>
      <c r="N106" s="43" t="s">
        <v>8</v>
      </c>
      <c r="O106" s="43" t="s">
        <v>8</v>
      </c>
    </row>
    <row r="107" spans="1:15" s="5" customFormat="1" ht="12.75">
      <c r="A107" s="41" t="s">
        <v>302</v>
      </c>
      <c r="B107" s="42" t="s">
        <v>0</v>
      </c>
      <c r="C107" s="43">
        <v>93657</v>
      </c>
      <c r="D107" s="53" t="s">
        <v>288</v>
      </c>
      <c r="E107" s="2" t="s">
        <v>11</v>
      </c>
      <c r="F107" s="45">
        <v>11.53</v>
      </c>
      <c r="G107" s="46">
        <v>12.73</v>
      </c>
      <c r="H107" s="47">
        <v>4</v>
      </c>
      <c r="I107" s="46">
        <f t="shared" si="4"/>
        <v>50.92</v>
      </c>
      <c r="J107" s="43" t="s">
        <v>8</v>
      </c>
      <c r="K107" s="43" t="s">
        <v>8</v>
      </c>
      <c r="L107" s="43" t="s">
        <v>8</v>
      </c>
      <c r="M107" s="43" t="s">
        <v>8</v>
      </c>
      <c r="N107" s="43" t="s">
        <v>8</v>
      </c>
      <c r="O107" s="43" t="s">
        <v>8</v>
      </c>
    </row>
    <row r="108" spans="1:15" s="5" customFormat="1" ht="22.5">
      <c r="A108" s="41" t="s">
        <v>303</v>
      </c>
      <c r="B108" s="42" t="s">
        <v>0</v>
      </c>
      <c r="C108" s="43" t="s">
        <v>295</v>
      </c>
      <c r="D108" s="53" t="s">
        <v>294</v>
      </c>
      <c r="E108" s="2" t="s">
        <v>11</v>
      </c>
      <c r="F108" s="45">
        <v>99.46</v>
      </c>
      <c r="G108" s="46">
        <v>109.87</v>
      </c>
      <c r="H108" s="47">
        <v>1</v>
      </c>
      <c r="I108" s="46">
        <f t="shared" si="4"/>
        <v>109.87</v>
      </c>
      <c r="J108" s="43" t="s">
        <v>8</v>
      </c>
      <c r="K108" s="43" t="s">
        <v>8</v>
      </c>
      <c r="L108" s="43" t="s">
        <v>8</v>
      </c>
      <c r="M108" s="43" t="s">
        <v>8</v>
      </c>
      <c r="N108" s="43" t="s">
        <v>8</v>
      </c>
      <c r="O108" s="43" t="s">
        <v>8</v>
      </c>
    </row>
    <row r="109" spans="1:15" s="5" customFormat="1" ht="12.75">
      <c r="A109" s="41" t="s">
        <v>304</v>
      </c>
      <c r="B109" s="42" t="s">
        <v>0</v>
      </c>
      <c r="C109" s="43">
        <v>93128</v>
      </c>
      <c r="D109" s="53" t="s">
        <v>280</v>
      </c>
      <c r="E109" s="2" t="s">
        <v>11</v>
      </c>
      <c r="F109" s="45">
        <v>115.2</v>
      </c>
      <c r="G109" s="46">
        <v>127.26</v>
      </c>
      <c r="H109" s="47">
        <v>84</v>
      </c>
      <c r="I109" s="46">
        <f t="shared" si="4"/>
        <v>10689.84</v>
      </c>
      <c r="J109" s="43" t="s">
        <v>8</v>
      </c>
      <c r="K109" s="43" t="s">
        <v>8</v>
      </c>
      <c r="L109" s="43" t="s">
        <v>8</v>
      </c>
      <c r="M109" s="43" t="s">
        <v>8</v>
      </c>
      <c r="N109" s="43" t="s">
        <v>8</v>
      </c>
      <c r="O109" s="43" t="s">
        <v>8</v>
      </c>
    </row>
    <row r="110" spans="1:15" s="5" customFormat="1" ht="12.75">
      <c r="A110" s="41" t="s">
        <v>305</v>
      </c>
      <c r="B110" s="42" t="s">
        <v>0</v>
      </c>
      <c r="C110" s="43">
        <v>93141</v>
      </c>
      <c r="D110" s="53" t="s">
        <v>282</v>
      </c>
      <c r="E110" s="2" t="s">
        <v>11</v>
      </c>
      <c r="F110" s="45">
        <v>137.76</v>
      </c>
      <c r="G110" s="46">
        <v>152.18</v>
      </c>
      <c r="H110" s="47">
        <v>119</v>
      </c>
      <c r="I110" s="46">
        <f t="shared" si="4"/>
        <v>18109.420000000002</v>
      </c>
      <c r="J110" s="43" t="s">
        <v>8</v>
      </c>
      <c r="K110" s="43" t="s">
        <v>8</v>
      </c>
      <c r="L110" s="43" t="s">
        <v>8</v>
      </c>
      <c r="M110" s="43" t="s">
        <v>8</v>
      </c>
      <c r="N110" s="43" t="s">
        <v>8</v>
      </c>
      <c r="O110" s="43" t="s">
        <v>8</v>
      </c>
    </row>
    <row r="111" spans="1:15" s="5" customFormat="1" ht="12.75">
      <c r="A111" s="41" t="s">
        <v>306</v>
      </c>
      <c r="B111" s="42" t="s">
        <v>0</v>
      </c>
      <c r="C111" s="43">
        <v>93143</v>
      </c>
      <c r="D111" s="53" t="s">
        <v>283</v>
      </c>
      <c r="E111" s="2" t="s">
        <v>11</v>
      </c>
      <c r="F111" s="45">
        <v>139.62</v>
      </c>
      <c r="G111" s="46">
        <v>154.24</v>
      </c>
      <c r="H111" s="47">
        <v>7</v>
      </c>
      <c r="I111" s="46">
        <f t="shared" si="4"/>
        <v>1079.68</v>
      </c>
      <c r="J111" s="43" t="s">
        <v>8</v>
      </c>
      <c r="K111" s="43" t="s">
        <v>8</v>
      </c>
      <c r="L111" s="43" t="s">
        <v>8</v>
      </c>
      <c r="M111" s="43" t="s">
        <v>8</v>
      </c>
      <c r="N111" s="43" t="s">
        <v>8</v>
      </c>
      <c r="O111" s="43" t="s">
        <v>8</v>
      </c>
    </row>
    <row r="112" spans="1:15" s="5" customFormat="1" ht="12.75">
      <c r="A112" s="41" t="s">
        <v>307</v>
      </c>
      <c r="B112" s="42" t="s">
        <v>0</v>
      </c>
      <c r="C112" s="43">
        <v>93144</v>
      </c>
      <c r="D112" s="53" t="s">
        <v>281</v>
      </c>
      <c r="E112" s="2" t="s">
        <v>11</v>
      </c>
      <c r="F112" s="45">
        <v>171.79</v>
      </c>
      <c r="G112" s="46">
        <v>189.77</v>
      </c>
      <c r="H112" s="47">
        <v>4</v>
      </c>
      <c r="I112" s="46">
        <f t="shared" si="4"/>
        <v>759.08</v>
      </c>
      <c r="J112" s="43" t="s">
        <v>8</v>
      </c>
      <c r="K112" s="43" t="s">
        <v>8</v>
      </c>
      <c r="L112" s="43" t="s">
        <v>8</v>
      </c>
      <c r="M112" s="43" t="s">
        <v>8</v>
      </c>
      <c r="N112" s="43" t="s">
        <v>8</v>
      </c>
      <c r="O112" s="43" t="s">
        <v>8</v>
      </c>
    </row>
    <row r="113" spans="1:15" s="5" customFormat="1" ht="12.75">
      <c r="A113" s="35" t="s">
        <v>104</v>
      </c>
      <c r="B113" s="36"/>
      <c r="C113" s="37"/>
      <c r="D113" s="38" t="s">
        <v>211</v>
      </c>
      <c r="E113" s="32"/>
      <c r="F113" s="9"/>
      <c r="G113" s="46"/>
      <c r="H113" s="8"/>
      <c r="I113" s="87">
        <f>SUM(I114:I117)</f>
        <v>5951.3499999999995</v>
      </c>
      <c r="J113" s="8"/>
      <c r="K113" s="88"/>
      <c r="L113" s="89"/>
      <c r="M113" s="8"/>
      <c r="N113" s="88"/>
      <c r="O113" s="90"/>
    </row>
    <row r="114" spans="1:15" s="5" customFormat="1" ht="12.75">
      <c r="A114" s="41" t="s">
        <v>260</v>
      </c>
      <c r="B114" s="42" t="s">
        <v>0</v>
      </c>
      <c r="C114" s="43">
        <v>98307</v>
      </c>
      <c r="D114" s="53" t="s">
        <v>174</v>
      </c>
      <c r="E114" s="2" t="s">
        <v>11</v>
      </c>
      <c r="F114" s="45">
        <v>38.99</v>
      </c>
      <c r="G114" s="46">
        <v>43.06</v>
      </c>
      <c r="H114" s="47">
        <v>21</v>
      </c>
      <c r="I114" s="46">
        <f>G114*H114</f>
        <v>904.26</v>
      </c>
      <c r="J114" s="43" t="s">
        <v>8</v>
      </c>
      <c r="K114" s="43" t="s">
        <v>8</v>
      </c>
      <c r="L114" s="43" t="s">
        <v>8</v>
      </c>
      <c r="M114" s="43" t="s">
        <v>8</v>
      </c>
      <c r="N114" s="43" t="s">
        <v>8</v>
      </c>
      <c r="O114" s="43" t="s">
        <v>8</v>
      </c>
    </row>
    <row r="115" spans="1:15" s="5" customFormat="1" ht="12.75">
      <c r="A115" s="41" t="s">
        <v>261</v>
      </c>
      <c r="B115" s="42" t="s">
        <v>9</v>
      </c>
      <c r="C115" s="43">
        <v>39601</v>
      </c>
      <c r="D115" s="53" t="s">
        <v>175</v>
      </c>
      <c r="E115" s="2" t="s">
        <v>11</v>
      </c>
      <c r="F115" s="45">
        <v>22.23</v>
      </c>
      <c r="G115" s="46">
        <v>24.56</v>
      </c>
      <c r="H115" s="47">
        <v>40</v>
      </c>
      <c r="I115" s="46">
        <f>G115*H115</f>
        <v>982.4</v>
      </c>
      <c r="J115" s="43" t="s">
        <v>8</v>
      </c>
      <c r="K115" s="43" t="s">
        <v>8</v>
      </c>
      <c r="L115" s="43" t="s">
        <v>8</v>
      </c>
      <c r="M115" s="43" t="s">
        <v>8</v>
      </c>
      <c r="N115" s="43" t="s">
        <v>8</v>
      </c>
      <c r="O115" s="43" t="s">
        <v>8</v>
      </c>
    </row>
    <row r="116" spans="1:15" s="5" customFormat="1" ht="12.75">
      <c r="A116" s="41" t="s">
        <v>262</v>
      </c>
      <c r="B116" s="42" t="s">
        <v>0</v>
      </c>
      <c r="C116" s="43">
        <v>98297</v>
      </c>
      <c r="D116" s="53" t="s">
        <v>209</v>
      </c>
      <c r="E116" s="43" t="s">
        <v>13</v>
      </c>
      <c r="F116" s="45">
        <v>2.5499999999999998</v>
      </c>
      <c r="G116" s="46">
        <v>2.81</v>
      </c>
      <c r="H116" s="47">
        <v>915</v>
      </c>
      <c r="I116" s="46">
        <f>G116*H116</f>
        <v>2571.15</v>
      </c>
      <c r="J116" s="43" t="s">
        <v>8</v>
      </c>
      <c r="K116" s="43" t="s">
        <v>8</v>
      </c>
      <c r="L116" s="43" t="s">
        <v>8</v>
      </c>
      <c r="M116" s="43" t="s">
        <v>8</v>
      </c>
      <c r="N116" s="43" t="s">
        <v>8</v>
      </c>
      <c r="O116" s="43" t="s">
        <v>8</v>
      </c>
    </row>
    <row r="117" spans="1:15" s="5" customFormat="1" ht="12.75">
      <c r="A117" s="41" t="s">
        <v>263</v>
      </c>
      <c r="B117" s="42" t="s">
        <v>0</v>
      </c>
      <c r="C117" s="43">
        <v>98302</v>
      </c>
      <c r="D117" s="53" t="s">
        <v>176</v>
      </c>
      <c r="E117" s="2" t="s">
        <v>11</v>
      </c>
      <c r="F117" s="45">
        <v>675.97</v>
      </c>
      <c r="G117" s="46">
        <v>746.77</v>
      </c>
      <c r="H117" s="47">
        <v>2</v>
      </c>
      <c r="I117" s="46">
        <f>G117*H117</f>
        <v>1493.54</v>
      </c>
      <c r="J117" s="43" t="s">
        <v>8</v>
      </c>
      <c r="K117" s="43" t="s">
        <v>8</v>
      </c>
      <c r="L117" s="43" t="s">
        <v>8</v>
      </c>
      <c r="M117" s="43" t="s">
        <v>8</v>
      </c>
      <c r="N117" s="43" t="s">
        <v>8</v>
      </c>
      <c r="O117" s="43" t="s">
        <v>8</v>
      </c>
    </row>
    <row r="118" spans="1:15" s="5" customFormat="1" ht="12.75">
      <c r="A118" s="35" t="s">
        <v>105</v>
      </c>
      <c r="B118" s="36"/>
      <c r="C118" s="37"/>
      <c r="D118" s="38" t="s">
        <v>66</v>
      </c>
      <c r="E118" s="32"/>
      <c r="F118" s="9"/>
      <c r="G118" s="46"/>
      <c r="H118" s="8"/>
      <c r="I118" s="87">
        <f>I119</f>
        <v>2881.54</v>
      </c>
      <c r="J118" s="8"/>
      <c r="K118" s="88"/>
      <c r="L118" s="89"/>
      <c r="M118" s="8"/>
      <c r="N118" s="88"/>
      <c r="O118" s="90"/>
    </row>
    <row r="119" spans="1:15" s="5" customFormat="1" ht="12.75">
      <c r="A119" s="41" t="s">
        <v>210</v>
      </c>
      <c r="B119" s="58" t="s">
        <v>269</v>
      </c>
      <c r="C119" s="43"/>
      <c r="D119" s="53" t="str">
        <f>UPPER("Infraestrutura Ar Split - Dutos / Elétrica")</f>
        <v>INFRAESTRUTURA AR SPLIT - DUTOS / ELÉTRICA</v>
      </c>
      <c r="E119" s="2" t="s">
        <v>11</v>
      </c>
      <c r="F119" s="45">
        <v>137.28</v>
      </c>
      <c r="G119" s="46">
        <v>151.66</v>
      </c>
      <c r="H119" s="47">
        <v>19</v>
      </c>
      <c r="I119" s="46">
        <f>G119*H119</f>
        <v>2881.54</v>
      </c>
      <c r="J119" s="43" t="s">
        <v>8</v>
      </c>
      <c r="K119" s="43" t="s">
        <v>8</v>
      </c>
      <c r="L119" s="43" t="s">
        <v>8</v>
      </c>
      <c r="M119" s="43" t="s">
        <v>8</v>
      </c>
      <c r="N119" s="43" t="s">
        <v>8</v>
      </c>
      <c r="O119" s="43" t="s">
        <v>8</v>
      </c>
    </row>
    <row r="120" spans="1:15" s="5" customFormat="1" ht="12.75">
      <c r="A120" s="33">
        <v>9</v>
      </c>
      <c r="B120" s="33"/>
      <c r="C120" s="33"/>
      <c r="D120" s="54" t="s">
        <v>107</v>
      </c>
      <c r="E120" s="79"/>
      <c r="F120" s="80"/>
      <c r="G120" s="81"/>
      <c r="H120" s="80"/>
      <c r="I120" s="82">
        <f>SUM(I121,I137)</f>
        <v>54864.444399999993</v>
      </c>
      <c r="J120" s="80"/>
      <c r="K120" s="83"/>
      <c r="L120" s="84"/>
      <c r="M120" s="85"/>
      <c r="N120" s="83"/>
      <c r="O120" s="86"/>
    </row>
    <row r="121" spans="1:15" s="5" customFormat="1" ht="12.75">
      <c r="A121" s="35" t="s">
        <v>101</v>
      </c>
      <c r="B121" s="36"/>
      <c r="C121" s="37"/>
      <c r="D121" s="38" t="s">
        <v>97</v>
      </c>
      <c r="E121" s="32"/>
      <c r="F121" s="9"/>
      <c r="G121" s="11"/>
      <c r="H121" s="8"/>
      <c r="I121" s="87">
        <f>SUM(I122:I136)</f>
        <v>39679.904399999992</v>
      </c>
      <c r="J121" s="8"/>
      <c r="K121" s="88"/>
      <c r="L121" s="89"/>
      <c r="M121" s="8"/>
      <c r="N121" s="88"/>
      <c r="O121" s="90"/>
    </row>
    <row r="122" spans="1:15" s="5" customFormat="1" ht="22.5">
      <c r="A122" s="41" t="s">
        <v>128</v>
      </c>
      <c r="B122" s="42" t="s">
        <v>0</v>
      </c>
      <c r="C122" s="43">
        <v>86932</v>
      </c>
      <c r="D122" s="53" t="s">
        <v>247</v>
      </c>
      <c r="E122" s="2" t="s">
        <v>11</v>
      </c>
      <c r="F122" s="45">
        <v>420.59</v>
      </c>
      <c r="G122" s="46">
        <v>464.64</v>
      </c>
      <c r="H122" s="47">
        <v>14</v>
      </c>
      <c r="I122" s="46">
        <f>G122*H122</f>
        <v>6504.96</v>
      </c>
      <c r="J122" s="43" t="s">
        <v>8</v>
      </c>
      <c r="K122" s="43" t="s">
        <v>8</v>
      </c>
      <c r="L122" s="43" t="s">
        <v>8</v>
      </c>
      <c r="M122" s="43" t="s">
        <v>8</v>
      </c>
      <c r="N122" s="43" t="s">
        <v>8</v>
      </c>
      <c r="O122" s="43" t="s">
        <v>8</v>
      </c>
    </row>
    <row r="123" spans="1:15" s="5" customFormat="1" ht="33.75">
      <c r="A123" s="41" t="s">
        <v>129</v>
      </c>
      <c r="B123" s="43" t="s">
        <v>22</v>
      </c>
      <c r="C123" s="43">
        <v>3</v>
      </c>
      <c r="D123" s="44" t="s">
        <v>248</v>
      </c>
      <c r="E123" s="2" t="s">
        <v>11</v>
      </c>
      <c r="F123" s="45">
        <f>[2]COMPOSIÇÕES!G36</f>
        <v>1415.9417030000002</v>
      </c>
      <c r="G123" s="46">
        <v>1564.26</v>
      </c>
      <c r="H123" s="47">
        <v>4</v>
      </c>
      <c r="I123" s="46">
        <f t="shared" ref="I123:I136" si="5">G123*H123</f>
        <v>6257.04</v>
      </c>
      <c r="J123" s="43" t="s">
        <v>8</v>
      </c>
      <c r="K123" s="43" t="s">
        <v>8</v>
      </c>
      <c r="L123" s="43" t="s">
        <v>8</v>
      </c>
      <c r="M123" s="43" t="s">
        <v>8</v>
      </c>
      <c r="N123" s="43" t="s">
        <v>8</v>
      </c>
      <c r="O123" s="43" t="s">
        <v>8</v>
      </c>
    </row>
    <row r="124" spans="1:15" s="5" customFormat="1" ht="33.75">
      <c r="A124" s="41" t="s">
        <v>130</v>
      </c>
      <c r="B124" s="42" t="s">
        <v>0</v>
      </c>
      <c r="C124" s="43">
        <v>86943</v>
      </c>
      <c r="D124" s="53" t="s">
        <v>127</v>
      </c>
      <c r="E124" s="2" t="s">
        <v>11</v>
      </c>
      <c r="F124" s="45">
        <v>197.86</v>
      </c>
      <c r="G124" s="46">
        <v>218.58</v>
      </c>
      <c r="H124" s="47">
        <v>16</v>
      </c>
      <c r="I124" s="46">
        <f t="shared" si="5"/>
        <v>3497.28</v>
      </c>
      <c r="J124" s="43" t="s">
        <v>8</v>
      </c>
      <c r="K124" s="43" t="s">
        <v>8</v>
      </c>
      <c r="L124" s="43" t="s">
        <v>8</v>
      </c>
      <c r="M124" s="43" t="s">
        <v>8</v>
      </c>
      <c r="N124" s="43" t="s">
        <v>8</v>
      </c>
      <c r="O124" s="43" t="s">
        <v>8</v>
      </c>
    </row>
    <row r="125" spans="1:15" s="5" customFormat="1" ht="33.75">
      <c r="A125" s="41" t="s">
        <v>131</v>
      </c>
      <c r="B125" s="42" t="s">
        <v>12</v>
      </c>
      <c r="C125" s="43">
        <v>12292</v>
      </c>
      <c r="D125" s="53" t="s">
        <v>206</v>
      </c>
      <c r="E125" s="2" t="s">
        <v>11</v>
      </c>
      <c r="F125" s="45">
        <v>1260.9000000000001</v>
      </c>
      <c r="G125" s="46">
        <v>1392.98</v>
      </c>
      <c r="H125" s="47">
        <v>4</v>
      </c>
      <c r="I125" s="46">
        <f t="shared" si="5"/>
        <v>5571.92</v>
      </c>
      <c r="J125" s="43" t="s">
        <v>8</v>
      </c>
      <c r="K125" s="43" t="s">
        <v>8</v>
      </c>
      <c r="L125" s="43" t="s">
        <v>8</v>
      </c>
      <c r="M125" s="43" t="s">
        <v>8</v>
      </c>
      <c r="N125" s="43" t="s">
        <v>8</v>
      </c>
      <c r="O125" s="43" t="s">
        <v>8</v>
      </c>
    </row>
    <row r="126" spans="1:15" s="5" customFormat="1" ht="33.75">
      <c r="A126" s="41" t="s">
        <v>132</v>
      </c>
      <c r="B126" s="42" t="s">
        <v>12</v>
      </c>
      <c r="C126" s="43">
        <v>12261</v>
      </c>
      <c r="D126" s="53" t="s">
        <v>207</v>
      </c>
      <c r="E126" s="2" t="s">
        <v>11</v>
      </c>
      <c r="F126" s="45">
        <v>712.44</v>
      </c>
      <c r="G126" s="46">
        <v>787.06</v>
      </c>
      <c r="H126" s="47">
        <v>2</v>
      </c>
      <c r="I126" s="46">
        <f t="shared" si="5"/>
        <v>1574.12</v>
      </c>
      <c r="J126" s="43" t="s">
        <v>8</v>
      </c>
      <c r="K126" s="43" t="s">
        <v>8</v>
      </c>
      <c r="L126" s="43" t="s">
        <v>8</v>
      </c>
      <c r="M126" s="43" t="s">
        <v>8</v>
      </c>
      <c r="N126" s="43" t="s">
        <v>8</v>
      </c>
      <c r="O126" s="43" t="s">
        <v>8</v>
      </c>
    </row>
    <row r="127" spans="1:15" s="5" customFormat="1" ht="33.75">
      <c r="A127" s="41" t="s">
        <v>133</v>
      </c>
      <c r="B127" s="42" t="s">
        <v>12</v>
      </c>
      <c r="C127" s="43">
        <v>2074</v>
      </c>
      <c r="D127" s="53" t="s">
        <v>208</v>
      </c>
      <c r="E127" s="2" t="s">
        <v>11</v>
      </c>
      <c r="F127" s="45">
        <v>669.39</v>
      </c>
      <c r="G127" s="46">
        <v>739.5</v>
      </c>
      <c r="H127" s="47">
        <v>8</v>
      </c>
      <c r="I127" s="46">
        <f t="shared" si="5"/>
        <v>5916</v>
      </c>
      <c r="J127" s="43" t="s">
        <v>8</v>
      </c>
      <c r="K127" s="43" t="s">
        <v>8</v>
      </c>
      <c r="L127" s="43" t="s">
        <v>8</v>
      </c>
      <c r="M127" s="43" t="s">
        <v>8</v>
      </c>
      <c r="N127" s="43" t="s">
        <v>8</v>
      </c>
      <c r="O127" s="43" t="s">
        <v>8</v>
      </c>
    </row>
    <row r="128" spans="1:15" s="5" customFormat="1" ht="33.75">
      <c r="A128" s="41" t="s">
        <v>134</v>
      </c>
      <c r="B128" s="42" t="s">
        <v>1</v>
      </c>
      <c r="C128" s="43">
        <v>1</v>
      </c>
      <c r="D128" s="53" t="s">
        <v>177</v>
      </c>
      <c r="E128" s="2" t="s">
        <v>16</v>
      </c>
      <c r="F128" s="45">
        <f>[2]COTAÇÕES!G18</f>
        <v>1961.2908415841584</v>
      </c>
      <c r="G128" s="46">
        <v>2166.73</v>
      </c>
      <c r="H128" s="47">
        <v>2.2799999999999998</v>
      </c>
      <c r="I128" s="46">
        <f t="shared" si="5"/>
        <v>4940.1443999999992</v>
      </c>
      <c r="J128" s="43" t="s">
        <v>8</v>
      </c>
      <c r="K128" s="43" t="s">
        <v>8</v>
      </c>
      <c r="L128" s="43" t="s">
        <v>8</v>
      </c>
      <c r="M128" s="43" t="s">
        <v>8</v>
      </c>
      <c r="N128" s="43" t="s">
        <v>8</v>
      </c>
      <c r="O128" s="43" t="s">
        <v>8</v>
      </c>
    </row>
    <row r="129" spans="1:15" s="5" customFormat="1" ht="12.75">
      <c r="A129" s="41" t="s">
        <v>212</v>
      </c>
      <c r="B129" s="42" t="s">
        <v>0</v>
      </c>
      <c r="C129" s="43">
        <v>86872</v>
      </c>
      <c r="D129" s="53" t="s">
        <v>178</v>
      </c>
      <c r="E129" s="2" t="s">
        <v>11</v>
      </c>
      <c r="F129" s="45">
        <v>623.59</v>
      </c>
      <c r="G129" s="46">
        <v>688.9</v>
      </c>
      <c r="H129" s="47">
        <v>1</v>
      </c>
      <c r="I129" s="46">
        <f t="shared" si="5"/>
        <v>688.9</v>
      </c>
      <c r="J129" s="43" t="s">
        <v>8</v>
      </c>
      <c r="K129" s="43" t="s">
        <v>8</v>
      </c>
      <c r="L129" s="43" t="s">
        <v>8</v>
      </c>
      <c r="M129" s="43" t="s">
        <v>8</v>
      </c>
      <c r="N129" s="43" t="s">
        <v>8</v>
      </c>
      <c r="O129" s="43" t="s">
        <v>8</v>
      </c>
    </row>
    <row r="130" spans="1:15" s="5" customFormat="1" ht="12.75">
      <c r="A130" s="41" t="s">
        <v>213</v>
      </c>
      <c r="B130" s="42" t="s">
        <v>9</v>
      </c>
      <c r="C130" s="43">
        <v>11688</v>
      </c>
      <c r="D130" s="53" t="s">
        <v>179</v>
      </c>
      <c r="E130" s="2" t="s">
        <v>11</v>
      </c>
      <c r="F130" s="45">
        <v>378.92</v>
      </c>
      <c r="G130" s="46">
        <v>418.6</v>
      </c>
      <c r="H130" s="47">
        <v>1</v>
      </c>
      <c r="I130" s="46">
        <f t="shared" si="5"/>
        <v>418.6</v>
      </c>
      <c r="J130" s="43" t="s">
        <v>8</v>
      </c>
      <c r="K130" s="43" t="s">
        <v>8</v>
      </c>
      <c r="L130" s="43" t="s">
        <v>8</v>
      </c>
      <c r="M130" s="43" t="s">
        <v>8</v>
      </c>
      <c r="N130" s="43" t="s">
        <v>8</v>
      </c>
      <c r="O130" s="43" t="s">
        <v>8</v>
      </c>
    </row>
    <row r="131" spans="1:15" s="5" customFormat="1" ht="12.75">
      <c r="A131" s="41" t="s">
        <v>214</v>
      </c>
      <c r="B131" s="42" t="s">
        <v>0</v>
      </c>
      <c r="C131" s="43">
        <v>9535</v>
      </c>
      <c r="D131" s="53" t="s">
        <v>180</v>
      </c>
      <c r="E131" s="2" t="s">
        <v>11</v>
      </c>
      <c r="F131" s="45">
        <v>60.43</v>
      </c>
      <c r="G131" s="46">
        <v>66.760000000000005</v>
      </c>
      <c r="H131" s="47">
        <v>1</v>
      </c>
      <c r="I131" s="46">
        <f t="shared" si="5"/>
        <v>66.760000000000005</v>
      </c>
      <c r="J131" s="43" t="s">
        <v>8</v>
      </c>
      <c r="K131" s="43" t="s">
        <v>8</v>
      </c>
      <c r="L131" s="43" t="s">
        <v>8</v>
      </c>
      <c r="M131" s="43" t="s">
        <v>8</v>
      </c>
      <c r="N131" s="43" t="s">
        <v>8</v>
      </c>
      <c r="O131" s="43" t="s">
        <v>8</v>
      </c>
    </row>
    <row r="132" spans="1:15" s="5" customFormat="1" ht="12.75">
      <c r="A132" s="41" t="s">
        <v>215</v>
      </c>
      <c r="B132" s="42" t="s">
        <v>9</v>
      </c>
      <c r="C132" s="43">
        <v>11777</v>
      </c>
      <c r="D132" s="53" t="s">
        <v>181</v>
      </c>
      <c r="E132" s="2" t="s">
        <v>11</v>
      </c>
      <c r="F132" s="45">
        <v>96.92</v>
      </c>
      <c r="G132" s="46">
        <v>107.07</v>
      </c>
      <c r="H132" s="47">
        <v>1</v>
      </c>
      <c r="I132" s="46">
        <f t="shared" si="5"/>
        <v>107.07</v>
      </c>
      <c r="J132" s="43" t="s">
        <v>8</v>
      </c>
      <c r="K132" s="43" t="s">
        <v>8</v>
      </c>
      <c r="L132" s="43" t="s">
        <v>8</v>
      </c>
      <c r="M132" s="43" t="s">
        <v>8</v>
      </c>
      <c r="N132" s="43" t="s">
        <v>8</v>
      </c>
      <c r="O132" s="43" t="s">
        <v>8</v>
      </c>
    </row>
    <row r="133" spans="1:15" s="5" customFormat="1" ht="12.75">
      <c r="A133" s="41" t="s">
        <v>216</v>
      </c>
      <c r="B133" s="42" t="s">
        <v>0</v>
      </c>
      <c r="C133" s="43">
        <v>86906</v>
      </c>
      <c r="D133" s="44" t="s">
        <v>271</v>
      </c>
      <c r="E133" s="2" t="s">
        <v>11</v>
      </c>
      <c r="F133" s="45">
        <v>66.42</v>
      </c>
      <c r="G133" s="46">
        <v>73.37</v>
      </c>
      <c r="H133" s="47">
        <v>2</v>
      </c>
      <c r="I133" s="46">
        <f t="shared" si="5"/>
        <v>146.74</v>
      </c>
      <c r="J133" s="43" t="s">
        <v>8</v>
      </c>
      <c r="K133" s="43" t="s">
        <v>8</v>
      </c>
      <c r="L133" s="43" t="s">
        <v>8</v>
      </c>
      <c r="M133" s="43" t="s">
        <v>8</v>
      </c>
      <c r="N133" s="43" t="s">
        <v>8</v>
      </c>
      <c r="O133" s="43" t="s">
        <v>8</v>
      </c>
    </row>
    <row r="134" spans="1:15" s="5" customFormat="1" ht="12.75">
      <c r="A134" s="41" t="s">
        <v>217</v>
      </c>
      <c r="B134" s="42" t="s">
        <v>9</v>
      </c>
      <c r="C134" s="43">
        <v>7602</v>
      </c>
      <c r="D134" s="53" t="s">
        <v>182</v>
      </c>
      <c r="E134" s="2" t="s">
        <v>11</v>
      </c>
      <c r="F134" s="45">
        <v>20.07</v>
      </c>
      <c r="G134" s="46">
        <v>22.17</v>
      </c>
      <c r="H134" s="47">
        <v>2</v>
      </c>
      <c r="I134" s="46">
        <f t="shared" si="5"/>
        <v>44.34</v>
      </c>
      <c r="J134" s="43" t="s">
        <v>8</v>
      </c>
      <c r="K134" s="43" t="s">
        <v>8</v>
      </c>
      <c r="L134" s="43" t="s">
        <v>8</v>
      </c>
      <c r="M134" s="43" t="s">
        <v>8</v>
      </c>
      <c r="N134" s="43" t="s">
        <v>8</v>
      </c>
      <c r="O134" s="43" t="s">
        <v>8</v>
      </c>
    </row>
    <row r="135" spans="1:15" s="5" customFormat="1" ht="12.75">
      <c r="A135" s="41" t="s">
        <v>218</v>
      </c>
      <c r="B135" s="42" t="s">
        <v>12</v>
      </c>
      <c r="C135" s="43">
        <v>802</v>
      </c>
      <c r="D135" s="53" t="s">
        <v>183</v>
      </c>
      <c r="E135" s="2" t="s">
        <v>11</v>
      </c>
      <c r="F135" s="45">
        <v>648.01</v>
      </c>
      <c r="G135" s="46">
        <v>715.88</v>
      </c>
      <c r="H135" s="47">
        <v>2</v>
      </c>
      <c r="I135" s="46">
        <f t="shared" si="5"/>
        <v>1431.76</v>
      </c>
      <c r="J135" s="43" t="s">
        <v>8</v>
      </c>
      <c r="K135" s="43" t="s">
        <v>8</v>
      </c>
      <c r="L135" s="43" t="s">
        <v>8</v>
      </c>
      <c r="M135" s="43" t="s">
        <v>8</v>
      </c>
      <c r="N135" s="43" t="s">
        <v>8</v>
      </c>
      <c r="O135" s="43" t="s">
        <v>8</v>
      </c>
    </row>
    <row r="136" spans="1:15" s="5" customFormat="1" ht="22.5">
      <c r="A136" s="41" t="s">
        <v>249</v>
      </c>
      <c r="B136" s="42" t="s">
        <v>9</v>
      </c>
      <c r="C136" s="43">
        <v>36081</v>
      </c>
      <c r="D136" s="53" t="s">
        <v>184</v>
      </c>
      <c r="E136" s="2" t="s">
        <v>11</v>
      </c>
      <c r="F136" s="45">
        <v>206.9</v>
      </c>
      <c r="G136" s="46">
        <v>228.57</v>
      </c>
      <c r="H136" s="47">
        <v>11</v>
      </c>
      <c r="I136" s="46">
        <f t="shared" si="5"/>
        <v>2514.27</v>
      </c>
      <c r="J136" s="43" t="s">
        <v>8</v>
      </c>
      <c r="K136" s="43" t="s">
        <v>8</v>
      </c>
      <c r="L136" s="43" t="s">
        <v>8</v>
      </c>
      <c r="M136" s="43" t="s">
        <v>8</v>
      </c>
      <c r="N136" s="43" t="s">
        <v>8</v>
      </c>
      <c r="O136" s="43" t="s">
        <v>8</v>
      </c>
    </row>
    <row r="137" spans="1:15" s="5" customFormat="1" ht="12.75">
      <c r="A137" s="35" t="s">
        <v>110</v>
      </c>
      <c r="B137" s="36"/>
      <c r="C137" s="37"/>
      <c r="D137" s="38" t="s">
        <v>109</v>
      </c>
      <c r="E137" s="32"/>
      <c r="F137" s="9"/>
      <c r="G137" s="46"/>
      <c r="H137" s="8"/>
      <c r="I137" s="87">
        <f>SUM(I138:I142)</f>
        <v>15184.54</v>
      </c>
      <c r="J137" s="8"/>
      <c r="K137" s="88"/>
      <c r="L137" s="89"/>
      <c r="M137" s="8"/>
      <c r="N137" s="88"/>
      <c r="O137" s="90"/>
    </row>
    <row r="138" spans="1:15" s="5" customFormat="1" ht="12.75">
      <c r="A138" s="41" t="s">
        <v>253</v>
      </c>
      <c r="B138" s="13" t="s">
        <v>0</v>
      </c>
      <c r="C138" s="13">
        <v>97592</v>
      </c>
      <c r="D138" s="14" t="s">
        <v>267</v>
      </c>
      <c r="E138" s="15" t="s">
        <v>11</v>
      </c>
      <c r="F138" s="16">
        <v>97.04</v>
      </c>
      <c r="G138" s="46">
        <v>107.2</v>
      </c>
      <c r="H138" s="16">
        <v>12</v>
      </c>
      <c r="I138" s="46">
        <f>G138*H138</f>
        <v>1286.4000000000001</v>
      </c>
      <c r="J138" s="43" t="s">
        <v>8</v>
      </c>
      <c r="K138" s="43" t="s">
        <v>8</v>
      </c>
      <c r="L138" s="43" t="s">
        <v>8</v>
      </c>
      <c r="M138" s="43" t="s">
        <v>8</v>
      </c>
      <c r="N138" s="43" t="s">
        <v>8</v>
      </c>
      <c r="O138" s="43" t="s">
        <v>8</v>
      </c>
    </row>
    <row r="139" spans="1:15" s="5" customFormat="1" ht="12.75">
      <c r="A139" s="41" t="s">
        <v>254</v>
      </c>
      <c r="B139" s="13" t="s">
        <v>0</v>
      </c>
      <c r="C139" s="13">
        <v>97607</v>
      </c>
      <c r="D139" s="14" t="s">
        <v>264</v>
      </c>
      <c r="E139" s="15" t="s">
        <v>11</v>
      </c>
      <c r="F139" s="16">
        <v>100.09</v>
      </c>
      <c r="G139" s="46">
        <v>110.57</v>
      </c>
      <c r="H139" s="16">
        <v>8</v>
      </c>
      <c r="I139" s="46">
        <f>G139*H139</f>
        <v>884.56</v>
      </c>
      <c r="J139" s="43" t="s">
        <v>8</v>
      </c>
      <c r="K139" s="43" t="s">
        <v>8</v>
      </c>
      <c r="L139" s="43" t="s">
        <v>8</v>
      </c>
      <c r="M139" s="43" t="s">
        <v>8</v>
      </c>
      <c r="N139" s="43" t="s">
        <v>8</v>
      </c>
      <c r="O139" s="43" t="s">
        <v>8</v>
      </c>
    </row>
    <row r="140" spans="1:15" s="5" customFormat="1" ht="22.5">
      <c r="A140" s="41" t="s">
        <v>255</v>
      </c>
      <c r="B140" s="13" t="s">
        <v>0</v>
      </c>
      <c r="C140" s="13" t="s">
        <v>266</v>
      </c>
      <c r="D140" s="14" t="s">
        <v>265</v>
      </c>
      <c r="E140" s="15" t="s">
        <v>11</v>
      </c>
      <c r="F140" s="16">
        <v>183.16</v>
      </c>
      <c r="G140" s="46">
        <v>202.34</v>
      </c>
      <c r="H140" s="16">
        <v>64</v>
      </c>
      <c r="I140" s="46">
        <f>G140*H140</f>
        <v>12949.76</v>
      </c>
      <c r="J140" s="43" t="s">
        <v>8</v>
      </c>
      <c r="K140" s="43" t="s">
        <v>8</v>
      </c>
      <c r="L140" s="43" t="s">
        <v>8</v>
      </c>
      <c r="M140" s="43" t="s">
        <v>8</v>
      </c>
      <c r="N140" s="43" t="s">
        <v>8</v>
      </c>
      <c r="O140" s="43" t="s">
        <v>8</v>
      </c>
    </row>
    <row r="141" spans="1:15" s="5" customFormat="1" ht="12.75">
      <c r="A141" s="41" t="s">
        <v>256</v>
      </c>
      <c r="B141" s="13" t="s">
        <v>0</v>
      </c>
      <c r="C141" s="17">
        <v>91955</v>
      </c>
      <c r="D141" s="18" t="s">
        <v>268</v>
      </c>
      <c r="E141" s="15" t="s">
        <v>11</v>
      </c>
      <c r="F141" s="16">
        <v>26.93</v>
      </c>
      <c r="G141" s="46">
        <v>29.74</v>
      </c>
      <c r="H141" s="16">
        <v>1</v>
      </c>
      <c r="I141" s="46">
        <f>G141*H141</f>
        <v>29.74</v>
      </c>
      <c r="J141" s="43" t="s">
        <v>8</v>
      </c>
      <c r="K141" s="43" t="s">
        <v>8</v>
      </c>
      <c r="L141" s="43" t="s">
        <v>8</v>
      </c>
      <c r="M141" s="43" t="s">
        <v>8</v>
      </c>
      <c r="N141" s="43" t="s">
        <v>8</v>
      </c>
      <c r="O141" s="43" t="s">
        <v>8</v>
      </c>
    </row>
    <row r="142" spans="1:15" s="5" customFormat="1" ht="12.75">
      <c r="A142" s="41" t="s">
        <v>257</v>
      </c>
      <c r="B142" s="13" t="s">
        <v>0</v>
      </c>
      <c r="C142" s="17">
        <v>83399</v>
      </c>
      <c r="D142" s="18" t="s">
        <v>270</v>
      </c>
      <c r="E142" s="15" t="s">
        <v>11</v>
      </c>
      <c r="F142" s="16">
        <v>30.85</v>
      </c>
      <c r="G142" s="46">
        <v>34.08</v>
      </c>
      <c r="H142" s="16">
        <v>1</v>
      </c>
      <c r="I142" s="46">
        <f>G142*H142</f>
        <v>34.08</v>
      </c>
      <c r="J142" s="43" t="s">
        <v>8</v>
      </c>
      <c r="K142" s="43" t="s">
        <v>8</v>
      </c>
      <c r="L142" s="43" t="s">
        <v>8</v>
      </c>
      <c r="M142" s="43" t="s">
        <v>8</v>
      </c>
      <c r="N142" s="43" t="s">
        <v>8</v>
      </c>
      <c r="O142" s="43" t="s">
        <v>8</v>
      </c>
    </row>
    <row r="143" spans="1:15" s="5" customFormat="1" ht="12.75">
      <c r="A143" s="33">
        <v>10</v>
      </c>
      <c r="B143" s="33"/>
      <c r="C143" s="33"/>
      <c r="D143" s="54" t="s">
        <v>67</v>
      </c>
      <c r="E143" s="79"/>
      <c r="F143" s="80"/>
      <c r="G143" s="81"/>
      <c r="H143" s="80"/>
      <c r="I143" s="82">
        <f>SUM(I144,I146,I151,I154)</f>
        <v>63338.038</v>
      </c>
      <c r="J143" s="80"/>
      <c r="K143" s="83"/>
      <c r="L143" s="84"/>
      <c r="M143" s="85"/>
      <c r="N143" s="83"/>
      <c r="O143" s="86"/>
    </row>
    <row r="144" spans="1:15" s="5" customFormat="1" ht="12.75">
      <c r="A144" s="35" t="s">
        <v>100</v>
      </c>
      <c r="B144" s="36"/>
      <c r="C144" s="37"/>
      <c r="D144" s="38" t="s">
        <v>115</v>
      </c>
      <c r="E144" s="32"/>
      <c r="F144" s="9"/>
      <c r="G144" s="11"/>
      <c r="H144" s="8"/>
      <c r="I144" s="87">
        <f>I145</f>
        <v>1503</v>
      </c>
      <c r="J144" s="8"/>
      <c r="K144" s="88"/>
      <c r="L144" s="89"/>
      <c r="M144" s="8"/>
      <c r="N144" s="88"/>
      <c r="O144" s="90"/>
    </row>
    <row r="145" spans="1:15" s="5" customFormat="1" ht="22.5">
      <c r="A145" s="41" t="s">
        <v>223</v>
      </c>
      <c r="B145" s="42" t="s">
        <v>0</v>
      </c>
      <c r="C145" s="43">
        <v>83336</v>
      </c>
      <c r="D145" s="53" t="s">
        <v>185</v>
      </c>
      <c r="E145" s="43" t="s">
        <v>186</v>
      </c>
      <c r="F145" s="45">
        <v>4.54</v>
      </c>
      <c r="G145" s="46">
        <v>5.01</v>
      </c>
      <c r="H145" s="47">
        <v>300</v>
      </c>
      <c r="I145" s="46">
        <f>G145*H145</f>
        <v>1503</v>
      </c>
      <c r="J145" s="43" t="s">
        <v>8</v>
      </c>
      <c r="K145" s="43" t="s">
        <v>8</v>
      </c>
      <c r="L145" s="43" t="s">
        <v>8</v>
      </c>
      <c r="M145" s="43" t="s">
        <v>8</v>
      </c>
      <c r="N145" s="43" t="s">
        <v>8</v>
      </c>
      <c r="O145" s="43" t="s">
        <v>8</v>
      </c>
    </row>
    <row r="146" spans="1:15" s="5" customFormat="1" ht="15">
      <c r="A146" s="35" t="s">
        <v>113</v>
      </c>
      <c r="B146" s="36"/>
      <c r="C146" s="37"/>
      <c r="D146" s="38" t="s">
        <v>220</v>
      </c>
      <c r="E146" s="37"/>
      <c r="F146" s="39"/>
      <c r="G146" s="46"/>
      <c r="H146" s="51"/>
      <c r="I146" s="52">
        <f>SUM(I147:I150)</f>
        <v>21270.292399999998</v>
      </c>
      <c r="J146" s="37"/>
      <c r="K146" s="49"/>
      <c r="L146" s="49"/>
      <c r="M146" s="49"/>
      <c r="N146" s="49"/>
      <c r="O146" s="50"/>
    </row>
    <row r="147" spans="1:15" s="5" customFormat="1" ht="22.5">
      <c r="A147" s="41" t="s">
        <v>224</v>
      </c>
      <c r="B147" s="42" t="s">
        <v>0</v>
      </c>
      <c r="C147" s="43">
        <v>83694</v>
      </c>
      <c r="D147" s="53" t="s">
        <v>187</v>
      </c>
      <c r="E147" s="43" t="s">
        <v>16</v>
      </c>
      <c r="F147" s="45">
        <v>15.17</v>
      </c>
      <c r="G147" s="46">
        <v>16.75</v>
      </c>
      <c r="H147" s="47">
        <v>604</v>
      </c>
      <c r="I147" s="46">
        <f>G147*H147</f>
        <v>10117</v>
      </c>
      <c r="J147" s="43" t="s">
        <v>8</v>
      </c>
      <c r="K147" s="43" t="s">
        <v>8</v>
      </c>
      <c r="L147" s="43" t="s">
        <v>8</v>
      </c>
      <c r="M147" s="43" t="s">
        <v>8</v>
      </c>
      <c r="N147" s="43" t="s">
        <v>8</v>
      </c>
      <c r="O147" s="43" t="s">
        <v>8</v>
      </c>
    </row>
    <row r="148" spans="1:15" s="5" customFormat="1" ht="22.5">
      <c r="A148" s="41" t="s">
        <v>225</v>
      </c>
      <c r="B148" s="42" t="s">
        <v>0</v>
      </c>
      <c r="C148" s="43">
        <v>95969</v>
      </c>
      <c r="D148" s="44" t="s">
        <v>250</v>
      </c>
      <c r="E148" s="43" t="s">
        <v>186</v>
      </c>
      <c r="F148" s="45">
        <v>2002.18</v>
      </c>
      <c r="G148" s="46">
        <v>2211.9</v>
      </c>
      <c r="H148" s="47">
        <v>0.88</v>
      </c>
      <c r="I148" s="46">
        <f>G148*H148</f>
        <v>1946.472</v>
      </c>
      <c r="J148" s="43" t="s">
        <v>8</v>
      </c>
      <c r="K148" s="43" t="s">
        <v>8</v>
      </c>
      <c r="L148" s="43" t="s">
        <v>8</v>
      </c>
      <c r="M148" s="43" t="s">
        <v>8</v>
      </c>
      <c r="N148" s="43" t="s">
        <v>8</v>
      </c>
      <c r="O148" s="43" t="s">
        <v>8</v>
      </c>
    </row>
    <row r="149" spans="1:15" s="5" customFormat="1" ht="22.5">
      <c r="A149" s="41" t="s">
        <v>226</v>
      </c>
      <c r="B149" s="42" t="s">
        <v>0</v>
      </c>
      <c r="C149" s="43">
        <v>94992</v>
      </c>
      <c r="D149" s="44" t="s">
        <v>191</v>
      </c>
      <c r="E149" s="43" t="s">
        <v>16</v>
      </c>
      <c r="F149" s="45">
        <v>62.59</v>
      </c>
      <c r="G149" s="46">
        <v>69.14</v>
      </c>
      <c r="H149" s="47">
        <v>18.46</v>
      </c>
      <c r="I149" s="46">
        <f>G149*H149</f>
        <v>1276.3244</v>
      </c>
      <c r="J149" s="43" t="s">
        <v>8</v>
      </c>
      <c r="K149" s="43" t="s">
        <v>8</v>
      </c>
      <c r="L149" s="43" t="s">
        <v>8</v>
      </c>
      <c r="M149" s="43" t="s">
        <v>8</v>
      </c>
      <c r="N149" s="43" t="s">
        <v>8</v>
      </c>
      <c r="O149" s="43" t="s">
        <v>8</v>
      </c>
    </row>
    <row r="150" spans="1:15" s="5" customFormat="1" ht="12.75">
      <c r="A150" s="41" t="s">
        <v>227</v>
      </c>
      <c r="B150" s="42" t="s">
        <v>0</v>
      </c>
      <c r="C150" s="43" t="s">
        <v>192</v>
      </c>
      <c r="D150" s="53" t="s">
        <v>193</v>
      </c>
      <c r="E150" s="43" t="s">
        <v>13</v>
      </c>
      <c r="F150" s="45">
        <v>338.62</v>
      </c>
      <c r="G150" s="46">
        <v>374.08</v>
      </c>
      <c r="H150" s="47">
        <v>21.2</v>
      </c>
      <c r="I150" s="46">
        <f>G150*H150</f>
        <v>7930.4959999999992</v>
      </c>
      <c r="J150" s="43" t="s">
        <v>8</v>
      </c>
      <c r="K150" s="43" t="s">
        <v>8</v>
      </c>
      <c r="L150" s="43" t="s">
        <v>8</v>
      </c>
      <c r="M150" s="43" t="s">
        <v>8</v>
      </c>
      <c r="N150" s="43" t="s">
        <v>8</v>
      </c>
      <c r="O150" s="43" t="s">
        <v>8</v>
      </c>
    </row>
    <row r="151" spans="1:15" s="5" customFormat="1" ht="12.75">
      <c r="A151" s="35" t="s">
        <v>114</v>
      </c>
      <c r="B151" s="36"/>
      <c r="C151" s="37"/>
      <c r="D151" s="38" t="s">
        <v>116</v>
      </c>
      <c r="E151" s="32"/>
      <c r="F151" s="9"/>
      <c r="G151" s="46"/>
      <c r="H151" s="8"/>
      <c r="I151" s="87">
        <f>SUM(I152:I153)</f>
        <v>22386.809999999998</v>
      </c>
      <c r="J151" s="8"/>
      <c r="K151" s="88"/>
      <c r="L151" s="89"/>
      <c r="M151" s="8"/>
      <c r="N151" s="88"/>
      <c r="O151" s="90"/>
    </row>
    <row r="152" spans="1:15" s="5" customFormat="1" ht="12.75">
      <c r="A152" s="41" t="s">
        <v>221</v>
      </c>
      <c r="B152" s="42" t="s">
        <v>0</v>
      </c>
      <c r="C152" s="43">
        <v>98655</v>
      </c>
      <c r="D152" s="44" t="s">
        <v>194</v>
      </c>
      <c r="E152" s="43" t="s">
        <v>13</v>
      </c>
      <c r="F152" s="45">
        <v>421.05</v>
      </c>
      <c r="G152" s="46">
        <v>465.15</v>
      </c>
      <c r="H152" s="47">
        <v>30</v>
      </c>
      <c r="I152" s="46">
        <f>G152*H152</f>
        <v>13954.5</v>
      </c>
      <c r="J152" s="43" t="s">
        <v>8</v>
      </c>
      <c r="K152" s="43" t="s">
        <v>8</v>
      </c>
      <c r="L152" s="43" t="s">
        <v>8</v>
      </c>
      <c r="M152" s="43" t="s">
        <v>8</v>
      </c>
      <c r="N152" s="43" t="s">
        <v>8</v>
      </c>
      <c r="O152" s="43" t="s">
        <v>8</v>
      </c>
    </row>
    <row r="153" spans="1:15" s="5" customFormat="1" ht="12.75">
      <c r="A153" s="41" t="s">
        <v>222</v>
      </c>
      <c r="B153" s="42" t="s">
        <v>0</v>
      </c>
      <c r="C153" s="43">
        <v>68054</v>
      </c>
      <c r="D153" s="53" t="s">
        <v>326</v>
      </c>
      <c r="E153" s="43" t="s">
        <v>16</v>
      </c>
      <c r="F153" s="45">
        <v>246.22</v>
      </c>
      <c r="G153" s="46">
        <v>272.01</v>
      </c>
      <c r="H153" s="94">
        <v>31</v>
      </c>
      <c r="I153" s="46">
        <f>G153*H153</f>
        <v>8432.31</v>
      </c>
      <c r="J153" s="43" t="s">
        <v>8</v>
      </c>
      <c r="K153" s="43" t="s">
        <v>8</v>
      </c>
      <c r="L153" s="43" t="s">
        <v>8</v>
      </c>
      <c r="M153" s="43" t="s">
        <v>8</v>
      </c>
      <c r="N153" s="43" t="s">
        <v>8</v>
      </c>
      <c r="O153" s="43" t="s">
        <v>8</v>
      </c>
    </row>
    <row r="154" spans="1:15" s="5" customFormat="1" ht="12.75">
      <c r="A154" s="35" t="s">
        <v>117</v>
      </c>
      <c r="B154" s="36"/>
      <c r="C154" s="37"/>
      <c r="D154" s="38" t="s">
        <v>219</v>
      </c>
      <c r="E154" s="32"/>
      <c r="F154" s="9"/>
      <c r="G154" s="46"/>
      <c r="H154" s="8"/>
      <c r="I154" s="87">
        <f>SUM(I155:I157)</f>
        <v>18177.935600000001</v>
      </c>
      <c r="J154" s="8"/>
      <c r="K154" s="88"/>
      <c r="L154" s="89"/>
      <c r="M154" s="8"/>
      <c r="N154" s="88"/>
      <c r="O154" s="90"/>
    </row>
    <row r="155" spans="1:15" s="5" customFormat="1" ht="22.5">
      <c r="A155" s="41" t="s">
        <v>118</v>
      </c>
      <c r="B155" s="42" t="s">
        <v>0</v>
      </c>
      <c r="C155" s="43">
        <v>92396</v>
      </c>
      <c r="D155" s="44" t="s">
        <v>188</v>
      </c>
      <c r="E155" s="43" t="s">
        <v>16</v>
      </c>
      <c r="F155" s="45">
        <v>50.3</v>
      </c>
      <c r="G155" s="46">
        <v>55.56</v>
      </c>
      <c r="H155" s="47">
        <v>221.76</v>
      </c>
      <c r="I155" s="46">
        <f>G155*H155</f>
        <v>12320.9856</v>
      </c>
      <c r="J155" s="43" t="s">
        <v>8</v>
      </c>
      <c r="K155" s="43" t="s">
        <v>8</v>
      </c>
      <c r="L155" s="43" t="s">
        <v>8</v>
      </c>
      <c r="M155" s="43" t="s">
        <v>8</v>
      </c>
      <c r="N155" s="43" t="s">
        <v>8</v>
      </c>
      <c r="O155" s="43" t="s">
        <v>8</v>
      </c>
    </row>
    <row r="156" spans="1:15" s="5" customFormat="1" ht="33.75">
      <c r="A156" s="41" t="s">
        <v>119</v>
      </c>
      <c r="B156" s="42" t="s">
        <v>0</v>
      </c>
      <c r="C156" s="43">
        <v>94273</v>
      </c>
      <c r="D156" s="44" t="s">
        <v>189</v>
      </c>
      <c r="E156" s="43" t="s">
        <v>13</v>
      </c>
      <c r="F156" s="45">
        <v>37.43</v>
      </c>
      <c r="G156" s="46">
        <v>41.34</v>
      </c>
      <c r="H156" s="47">
        <v>62.5</v>
      </c>
      <c r="I156" s="46">
        <f>G156*H156</f>
        <v>2583.75</v>
      </c>
      <c r="J156" s="43" t="s">
        <v>8</v>
      </c>
      <c r="K156" s="43" t="s">
        <v>8</v>
      </c>
      <c r="L156" s="43" t="s">
        <v>8</v>
      </c>
      <c r="M156" s="43" t="s">
        <v>8</v>
      </c>
      <c r="N156" s="43" t="s">
        <v>8</v>
      </c>
      <c r="O156" s="43" t="s">
        <v>8</v>
      </c>
    </row>
    <row r="157" spans="1:15" s="5" customFormat="1" ht="12.75">
      <c r="A157" s="41" t="s">
        <v>228</v>
      </c>
      <c r="B157" s="42" t="s">
        <v>9</v>
      </c>
      <c r="C157" s="43">
        <v>36178</v>
      </c>
      <c r="D157" s="53" t="s">
        <v>190</v>
      </c>
      <c r="E157" s="2" t="s">
        <v>11</v>
      </c>
      <c r="F157" s="45">
        <v>6.05</v>
      </c>
      <c r="G157" s="46">
        <v>6.68</v>
      </c>
      <c r="H157" s="56">
        <v>490</v>
      </c>
      <c r="I157" s="46">
        <f>G157*H157</f>
        <v>3273.2</v>
      </c>
      <c r="J157" s="43" t="s">
        <v>8</v>
      </c>
      <c r="K157" s="43" t="s">
        <v>8</v>
      </c>
      <c r="L157" s="43" t="s">
        <v>8</v>
      </c>
      <c r="M157" s="43" t="s">
        <v>8</v>
      </c>
      <c r="N157" s="43" t="s">
        <v>8</v>
      </c>
      <c r="O157" s="43" t="s">
        <v>8</v>
      </c>
    </row>
    <row r="158" spans="1:15" s="5" customFormat="1" ht="12.75">
      <c r="A158" s="33">
        <v>11</v>
      </c>
      <c r="B158" s="33"/>
      <c r="C158" s="33"/>
      <c r="D158" s="54" t="s">
        <v>111</v>
      </c>
      <c r="E158" s="79"/>
      <c r="F158" s="80"/>
      <c r="G158" s="81"/>
      <c r="H158" s="80"/>
      <c r="I158" s="82">
        <f>I159</f>
        <v>3366</v>
      </c>
      <c r="J158" s="80"/>
      <c r="K158" s="83"/>
      <c r="L158" s="84"/>
      <c r="M158" s="85"/>
      <c r="N158" s="83"/>
      <c r="O158" s="86"/>
    </row>
    <row r="159" spans="1:15" s="5" customFormat="1" ht="12.75">
      <c r="A159" s="35" t="s">
        <v>112</v>
      </c>
      <c r="B159" s="36"/>
      <c r="C159" s="37"/>
      <c r="D159" s="38" t="s">
        <v>195</v>
      </c>
      <c r="E159" s="32"/>
      <c r="F159" s="9"/>
      <c r="G159" s="11"/>
      <c r="H159" s="8"/>
      <c r="I159" s="87">
        <f>SUM(I160:I173)</f>
        <v>3366</v>
      </c>
      <c r="J159" s="8"/>
      <c r="K159" s="88"/>
      <c r="L159" s="89"/>
      <c r="M159" s="8"/>
      <c r="N159" s="88"/>
      <c r="O159" s="90"/>
    </row>
    <row r="160" spans="1:15" s="5" customFormat="1" ht="12.75">
      <c r="A160" s="69" t="s">
        <v>229</v>
      </c>
      <c r="B160" s="70" t="s">
        <v>12</v>
      </c>
      <c r="C160" s="71">
        <v>2450</v>
      </c>
      <c r="D160" s="72" t="s">
        <v>230</v>
      </c>
      <c r="E160" s="71" t="s">
        <v>16</v>
      </c>
      <c r="F160" s="73">
        <v>1.69</v>
      </c>
      <c r="G160" s="46">
        <v>1.87</v>
      </c>
      <c r="H160" s="74">
        <v>1800</v>
      </c>
      <c r="I160" s="46">
        <f>G160*H160</f>
        <v>3366</v>
      </c>
      <c r="J160" s="43" t="s">
        <v>8</v>
      </c>
      <c r="K160" s="43" t="s">
        <v>8</v>
      </c>
      <c r="L160" s="43" t="s">
        <v>8</v>
      </c>
      <c r="M160" s="43" t="s">
        <v>8</v>
      </c>
      <c r="N160" s="43" t="s">
        <v>8</v>
      </c>
      <c r="O160" s="43" t="s">
        <v>8</v>
      </c>
    </row>
    <row r="161" spans="1:15" ht="30" customHeight="1">
      <c r="A161" s="75"/>
      <c r="B161" s="76"/>
      <c r="C161" s="76"/>
      <c r="D161" s="76"/>
      <c r="E161" s="76"/>
      <c r="F161" s="76"/>
      <c r="G161" s="91" t="s">
        <v>344</v>
      </c>
      <c r="H161" s="378">
        <f>SUM(I6,I10,I17,I20,I29,I42,I57,I73,I120,I143,I158)</f>
        <v>577625.17779999995</v>
      </c>
      <c r="I161" s="379"/>
      <c r="J161" s="436">
        <f>SUM(K6,K10,K17,K20,K29,K42,K57,K73,K120,K143,K158)</f>
        <v>56255.684399999998</v>
      </c>
      <c r="K161" s="437"/>
      <c r="L161" s="95">
        <f>J161/H161</f>
        <v>9.7391330160262288E-2</v>
      </c>
      <c r="M161" s="438">
        <f>SUM(N6,N10,N17,N20,N29,N42,N57,N73,N120,N143,N158)</f>
        <v>56255.684399999998</v>
      </c>
      <c r="N161" s="439"/>
      <c r="O161" s="95">
        <f>M161/H161</f>
        <v>9.7391330160262288E-2</v>
      </c>
    </row>
    <row r="162" spans="1:15" ht="1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6"/>
      <c r="L162" s="24"/>
      <c r="M162" s="23"/>
      <c r="N162" s="24"/>
      <c r="O162" s="4"/>
    </row>
  </sheetData>
  <mergeCells count="14">
    <mergeCell ref="E4:E5"/>
    <mergeCell ref="F4:F5"/>
    <mergeCell ref="J4:L4"/>
    <mergeCell ref="M4:O4"/>
    <mergeCell ref="A4:A5"/>
    <mergeCell ref="B4:B5"/>
    <mergeCell ref="C4:C5"/>
    <mergeCell ref="D4:D5"/>
    <mergeCell ref="N2:O2"/>
    <mergeCell ref="K2:L2"/>
    <mergeCell ref="H161:I161"/>
    <mergeCell ref="J161:K161"/>
    <mergeCell ref="M161:N161"/>
    <mergeCell ref="G4:I4"/>
  </mergeCells>
  <printOptions horizontalCentered="1"/>
  <pageMargins left="0.51181102362204722" right="0.51181102362204722" top="1.1811023622047245" bottom="0.39370078740157483" header="0.19685039370078741" footer="0"/>
  <pageSetup paperSize="9" scale="81" fitToHeight="0" orientation="landscape" r:id="rId1"/>
  <headerFooter>
    <oddHeader>&amp;C&amp;G</oddHeader>
  </headerFooter>
  <colBreaks count="1" manualBreakCount="1">
    <brk id="15" max="1048575" man="1"/>
  </colBreaks>
  <ignoredErrors>
    <ignoredError sqref="I27 I34 I48 I69:I70 I89 I113 I137 I146 I38 I40 I51 I54 I71 I94 I118 I151 I154" formula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R162"/>
  <sheetViews>
    <sheetView topLeftCell="A7" workbookViewId="0">
      <selection activeCell="K34" sqref="K34"/>
    </sheetView>
  </sheetViews>
  <sheetFormatPr defaultColWidth="14.42578125" defaultRowHeight="15.75" customHeight="1"/>
  <cols>
    <col min="1" max="1" width="7.85546875" style="3" customWidth="1"/>
    <col min="2" max="2" width="12.28515625" style="3" hidden="1" customWidth="1"/>
    <col min="3" max="3" width="9.85546875" style="3" hidden="1" customWidth="1"/>
    <col min="4" max="4" width="55.28515625" style="3" customWidth="1"/>
    <col min="5" max="5" width="10.7109375" style="3" customWidth="1"/>
    <col min="6" max="6" width="10.7109375" style="3" hidden="1" customWidth="1"/>
    <col min="7" max="11" width="10.7109375" style="3" customWidth="1"/>
    <col min="12" max="12" width="9.42578125" style="3" customWidth="1"/>
    <col min="13" max="13" width="10.7109375" style="7" customWidth="1"/>
    <col min="14" max="14" width="10.7109375" style="3" customWidth="1"/>
    <col min="15" max="15" width="9.42578125" style="3" customWidth="1"/>
    <col min="16" max="16384" width="14.42578125" style="3"/>
  </cols>
  <sheetData>
    <row r="1" spans="1:15" ht="15" customHeight="1">
      <c r="A1" s="21" t="s">
        <v>329</v>
      </c>
      <c r="B1" s="28"/>
      <c r="C1" s="29"/>
      <c r="D1" s="28"/>
      <c r="E1" s="27" t="s">
        <v>330</v>
      </c>
      <c r="F1" s="28"/>
      <c r="G1" s="28"/>
      <c r="H1" s="28"/>
      <c r="I1" s="28"/>
      <c r="J1" s="27" t="s">
        <v>333</v>
      </c>
      <c r="K1" s="27" t="s">
        <v>341</v>
      </c>
      <c r="L1" s="28"/>
      <c r="M1" s="27" t="s">
        <v>339</v>
      </c>
      <c r="N1" s="27" t="s">
        <v>332</v>
      </c>
      <c r="O1" s="29"/>
    </row>
    <row r="2" spans="1:15" ht="15" customHeight="1">
      <c r="A2" s="22" t="s">
        <v>340</v>
      </c>
      <c r="B2" s="30"/>
      <c r="C2" s="31"/>
      <c r="D2" s="60"/>
      <c r="E2" s="59" t="s">
        <v>331</v>
      </c>
      <c r="F2" s="60"/>
      <c r="G2" s="60"/>
      <c r="H2" s="60"/>
      <c r="I2" s="60"/>
      <c r="J2" s="62">
        <f>[2]BDI!F25</f>
        <v>0.21199999999999999</v>
      </c>
      <c r="K2" s="434" t="s">
        <v>342</v>
      </c>
      <c r="L2" s="435"/>
      <c r="M2" s="190" t="s">
        <v>579</v>
      </c>
      <c r="N2" s="434" t="s">
        <v>580</v>
      </c>
      <c r="O2" s="435"/>
    </row>
    <row r="3" spans="1:15" ht="5.25" customHeight="1">
      <c r="A3" s="61"/>
      <c r="B3" s="61"/>
      <c r="C3" s="61"/>
      <c r="D3" s="4"/>
      <c r="E3" s="4"/>
      <c r="F3" s="4"/>
      <c r="G3" s="4"/>
      <c r="H3" s="4"/>
      <c r="I3" s="4"/>
      <c r="J3" s="4"/>
      <c r="K3" s="25"/>
      <c r="L3" s="4"/>
      <c r="M3" s="6"/>
      <c r="N3" s="4"/>
      <c r="O3" s="4"/>
    </row>
    <row r="4" spans="1:15" s="5" customFormat="1" ht="24" customHeight="1">
      <c r="A4" s="380" t="s">
        <v>3</v>
      </c>
      <c r="B4" s="380" t="s">
        <v>4</v>
      </c>
      <c r="C4" s="380" t="s">
        <v>5</v>
      </c>
      <c r="D4" s="380" t="s">
        <v>6</v>
      </c>
      <c r="E4" s="380" t="s">
        <v>2</v>
      </c>
      <c r="F4" s="382" t="s">
        <v>7</v>
      </c>
      <c r="G4" s="384" t="s">
        <v>335</v>
      </c>
      <c r="H4" s="385"/>
      <c r="I4" s="386"/>
      <c r="J4" s="440" t="s">
        <v>336</v>
      </c>
      <c r="K4" s="440"/>
      <c r="L4" s="440"/>
      <c r="M4" s="440" t="s">
        <v>337</v>
      </c>
      <c r="N4" s="440"/>
      <c r="O4" s="440"/>
    </row>
    <row r="5" spans="1:15" s="5" customFormat="1" ht="22.5">
      <c r="A5" s="381"/>
      <c r="B5" s="381"/>
      <c r="C5" s="381"/>
      <c r="D5" s="381"/>
      <c r="E5" s="381"/>
      <c r="F5" s="383"/>
      <c r="G5" s="93" t="s">
        <v>346</v>
      </c>
      <c r="H5" s="64" t="s">
        <v>334</v>
      </c>
      <c r="I5" s="65" t="s">
        <v>135</v>
      </c>
      <c r="J5" s="66" t="s">
        <v>334</v>
      </c>
      <c r="K5" s="67" t="s">
        <v>135</v>
      </c>
      <c r="L5" s="68" t="s">
        <v>338</v>
      </c>
      <c r="M5" s="66" t="s">
        <v>334</v>
      </c>
      <c r="N5" s="67" t="s">
        <v>135</v>
      </c>
      <c r="O5" s="68" t="s">
        <v>338</v>
      </c>
    </row>
    <row r="6" spans="1:15" s="5" customFormat="1" ht="12.75">
      <c r="A6" s="33">
        <v>1</v>
      </c>
      <c r="B6" s="33"/>
      <c r="C6" s="33"/>
      <c r="D6" s="33" t="s">
        <v>15</v>
      </c>
      <c r="E6" s="79"/>
      <c r="F6" s="80"/>
      <c r="G6" s="81"/>
      <c r="H6" s="80"/>
      <c r="I6" s="82">
        <f>I7</f>
        <v>47988.6</v>
      </c>
      <c r="J6" s="80"/>
      <c r="K6" s="83">
        <f>K9+K8</f>
        <v>14542</v>
      </c>
      <c r="L6" s="84">
        <f t="shared" ref="L6:L16" si="0">K6/I6</f>
        <v>0.30303030303030304</v>
      </c>
      <c r="M6" s="85"/>
      <c r="N6" s="83">
        <f>N9+N8</f>
        <v>7271</v>
      </c>
      <c r="O6" s="86">
        <f t="shared" ref="O6:O16" si="1">N6/I6</f>
        <v>0.15151515151515152</v>
      </c>
    </row>
    <row r="7" spans="1:15" s="5" customFormat="1" ht="12.75">
      <c r="A7" s="35" t="s">
        <v>23</v>
      </c>
      <c r="B7" s="36"/>
      <c r="C7" s="37"/>
      <c r="D7" s="38" t="s">
        <v>235</v>
      </c>
      <c r="E7" s="32"/>
      <c r="F7" s="9"/>
      <c r="G7" s="11"/>
      <c r="H7" s="8"/>
      <c r="I7" s="87">
        <f>SUM(I8:I9)</f>
        <v>47988.6</v>
      </c>
      <c r="J7" s="8"/>
      <c r="K7" s="88">
        <f>K8+K9</f>
        <v>14542</v>
      </c>
      <c r="L7" s="89">
        <f t="shared" si="0"/>
        <v>0.30303030303030304</v>
      </c>
      <c r="M7" s="8"/>
      <c r="N7" s="88">
        <f>N8+N9</f>
        <v>7271</v>
      </c>
      <c r="O7" s="90">
        <f t="shared" si="1"/>
        <v>0.15151515151515152</v>
      </c>
    </row>
    <row r="8" spans="1:15" s="5" customFormat="1" ht="12.75">
      <c r="A8" s="41" t="s">
        <v>233</v>
      </c>
      <c r="B8" s="42" t="s">
        <v>0</v>
      </c>
      <c r="C8" s="43">
        <v>90778</v>
      </c>
      <c r="D8" s="44" t="s">
        <v>231</v>
      </c>
      <c r="E8" s="43" t="s">
        <v>10</v>
      </c>
      <c r="F8" s="45">
        <v>99.6</v>
      </c>
      <c r="G8" s="46">
        <v>110.03</v>
      </c>
      <c r="H8" s="47">
        <f>2*22*3</f>
        <v>132</v>
      </c>
      <c r="I8" s="48">
        <f>G8*H8</f>
        <v>14523.960000000001</v>
      </c>
      <c r="J8" s="43">
        <v>40</v>
      </c>
      <c r="K8" s="78">
        <f>J8*G8</f>
        <v>4401.2</v>
      </c>
      <c r="L8" s="77">
        <f t="shared" si="0"/>
        <v>0.30303030303030298</v>
      </c>
      <c r="M8" s="43">
        <v>20</v>
      </c>
      <c r="N8" s="78">
        <f>M8*G8</f>
        <v>2200.6</v>
      </c>
      <c r="O8" s="77">
        <f t="shared" si="1"/>
        <v>0.15151515151515149</v>
      </c>
    </row>
    <row r="9" spans="1:15" s="5" customFormat="1" ht="12.75">
      <c r="A9" s="41" t="s">
        <v>234</v>
      </c>
      <c r="B9" s="42" t="s">
        <v>0</v>
      </c>
      <c r="C9" s="43">
        <v>90780</v>
      </c>
      <c r="D9" s="44" t="s">
        <v>232</v>
      </c>
      <c r="E9" s="43" t="s">
        <v>10</v>
      </c>
      <c r="F9" s="45">
        <v>57.37</v>
      </c>
      <c r="G9" s="46">
        <v>63.38</v>
      </c>
      <c r="H9" s="47">
        <f>8*22*3</f>
        <v>528</v>
      </c>
      <c r="I9" s="48">
        <f>G9*H9</f>
        <v>33464.639999999999</v>
      </c>
      <c r="J9" s="43">
        <v>160</v>
      </c>
      <c r="K9" s="78">
        <f>J9*G9</f>
        <v>10140.800000000001</v>
      </c>
      <c r="L9" s="77">
        <f t="shared" si="0"/>
        <v>0.30303030303030309</v>
      </c>
      <c r="M9" s="43">
        <v>80</v>
      </c>
      <c r="N9" s="78">
        <f>M9*G9</f>
        <v>5070.4000000000005</v>
      </c>
      <c r="O9" s="77">
        <f t="shared" si="1"/>
        <v>0.15151515151515155</v>
      </c>
    </row>
    <row r="10" spans="1:15" s="5" customFormat="1" ht="12.75">
      <c r="A10" s="33">
        <v>2</v>
      </c>
      <c r="B10" s="33"/>
      <c r="C10" s="33"/>
      <c r="D10" s="33" t="s">
        <v>14</v>
      </c>
      <c r="E10" s="79"/>
      <c r="F10" s="80"/>
      <c r="G10" s="81"/>
      <c r="H10" s="80"/>
      <c r="I10" s="82">
        <f>SUM(I11,I14)</f>
        <v>48634.65</v>
      </c>
      <c r="J10" s="80"/>
      <c r="K10" s="83">
        <f>K14+K11</f>
        <v>48634.65</v>
      </c>
      <c r="L10" s="84">
        <f t="shared" si="0"/>
        <v>1</v>
      </c>
      <c r="M10" s="85"/>
      <c r="N10" s="83">
        <f>N14+N11</f>
        <v>1570.44</v>
      </c>
      <c r="O10" s="86">
        <f t="shared" si="1"/>
        <v>3.2290558274810241E-2</v>
      </c>
    </row>
    <row r="11" spans="1:15" s="5" customFormat="1" ht="12.75">
      <c r="A11" s="35" t="s">
        <v>24</v>
      </c>
      <c r="B11" s="36"/>
      <c r="C11" s="37"/>
      <c r="D11" s="38" t="s">
        <v>38</v>
      </c>
      <c r="E11" s="32"/>
      <c r="F11" s="9"/>
      <c r="G11" s="11"/>
      <c r="H11" s="8"/>
      <c r="I11" s="87">
        <f>SUM(I12:I13)</f>
        <v>12659.01</v>
      </c>
      <c r="J11" s="8"/>
      <c r="K11" s="88">
        <f>K12+K13</f>
        <v>12659.01</v>
      </c>
      <c r="L11" s="89">
        <f t="shared" si="0"/>
        <v>1</v>
      </c>
      <c r="M11" s="8"/>
      <c r="N11" s="88"/>
      <c r="O11" s="90"/>
    </row>
    <row r="12" spans="1:15" s="5" customFormat="1" ht="22.5">
      <c r="A12" s="41" t="s">
        <v>39</v>
      </c>
      <c r="B12" s="42" t="s">
        <v>0</v>
      </c>
      <c r="C12" s="43">
        <v>93212</v>
      </c>
      <c r="D12" s="53" t="s">
        <v>17</v>
      </c>
      <c r="E12" s="43" t="s">
        <v>16</v>
      </c>
      <c r="F12" s="45">
        <v>678.84</v>
      </c>
      <c r="G12" s="46">
        <v>749.94</v>
      </c>
      <c r="H12" s="47">
        <v>4</v>
      </c>
      <c r="I12" s="48">
        <f>G12*H12</f>
        <v>2999.76</v>
      </c>
      <c r="J12" s="43">
        <v>4</v>
      </c>
      <c r="K12" s="78">
        <f>J12*G12</f>
        <v>2999.76</v>
      </c>
      <c r="L12" s="77">
        <f t="shared" si="0"/>
        <v>1</v>
      </c>
      <c r="M12" s="43" t="s">
        <v>8</v>
      </c>
      <c r="N12" s="43" t="s">
        <v>8</v>
      </c>
      <c r="O12" s="43" t="s">
        <v>8</v>
      </c>
    </row>
    <row r="13" spans="1:15" s="5" customFormat="1" ht="22.5">
      <c r="A13" s="41" t="s">
        <v>40</v>
      </c>
      <c r="B13" s="42" t="s">
        <v>0</v>
      </c>
      <c r="C13" s="43">
        <v>93584</v>
      </c>
      <c r="D13" s="53" t="s">
        <v>18</v>
      </c>
      <c r="E13" s="43" t="s">
        <v>16</v>
      </c>
      <c r="F13" s="45">
        <v>582.89</v>
      </c>
      <c r="G13" s="46">
        <v>643.95000000000005</v>
      </c>
      <c r="H13" s="47">
        <v>15</v>
      </c>
      <c r="I13" s="48">
        <f>G13*H13</f>
        <v>9659.25</v>
      </c>
      <c r="J13" s="43">
        <v>15</v>
      </c>
      <c r="K13" s="78">
        <f>J13*G13</f>
        <v>9659.25</v>
      </c>
      <c r="L13" s="77">
        <f t="shared" si="0"/>
        <v>1</v>
      </c>
      <c r="M13" s="43" t="s">
        <v>8</v>
      </c>
      <c r="N13" s="43" t="s">
        <v>8</v>
      </c>
      <c r="O13" s="43" t="s">
        <v>8</v>
      </c>
    </row>
    <row r="14" spans="1:15" s="5" customFormat="1" ht="12.75">
      <c r="A14" s="35" t="s">
        <v>25</v>
      </c>
      <c r="B14" s="36"/>
      <c r="C14" s="37"/>
      <c r="D14" s="38" t="s">
        <v>238</v>
      </c>
      <c r="E14" s="37"/>
      <c r="F14" s="39"/>
      <c r="G14" s="40"/>
      <c r="H14" s="51"/>
      <c r="I14" s="52">
        <f>SUM(I15:I16)</f>
        <v>35975.64</v>
      </c>
      <c r="J14" s="8"/>
      <c r="K14" s="88">
        <f>K15+K16</f>
        <v>35975.64</v>
      </c>
      <c r="L14" s="89">
        <f t="shared" si="0"/>
        <v>1</v>
      </c>
      <c r="M14" s="8"/>
      <c r="N14" s="88">
        <f>N16</f>
        <v>1570.44</v>
      </c>
      <c r="O14" s="90">
        <f t="shared" si="1"/>
        <v>4.3652871776568812E-2</v>
      </c>
    </row>
    <row r="15" spans="1:15" s="5" customFormat="1" ht="12.75">
      <c r="A15" s="41" t="s">
        <v>236</v>
      </c>
      <c r="B15" s="42" t="s">
        <v>0</v>
      </c>
      <c r="C15" s="43">
        <v>98459</v>
      </c>
      <c r="D15" s="53" t="s">
        <v>19</v>
      </c>
      <c r="E15" s="43" t="s">
        <v>16</v>
      </c>
      <c r="F15" s="45">
        <v>86.51</v>
      </c>
      <c r="G15" s="46">
        <v>95.57</v>
      </c>
      <c r="H15" s="47">
        <v>360</v>
      </c>
      <c r="I15" s="46">
        <f>G15*H15</f>
        <v>34405.199999999997</v>
      </c>
      <c r="J15" s="43">
        <v>360</v>
      </c>
      <c r="K15" s="78">
        <f>J15*G15</f>
        <v>34405.199999999997</v>
      </c>
      <c r="L15" s="77">
        <f t="shared" si="0"/>
        <v>1</v>
      </c>
      <c r="M15" s="43" t="s">
        <v>8</v>
      </c>
      <c r="N15" s="43" t="s">
        <v>8</v>
      </c>
      <c r="O15" s="43" t="s">
        <v>8</v>
      </c>
    </row>
    <row r="16" spans="1:15" s="5" customFormat="1" ht="12.75">
      <c r="A16" s="41" t="s">
        <v>237</v>
      </c>
      <c r="B16" s="42" t="s">
        <v>0</v>
      </c>
      <c r="C16" s="43" t="s">
        <v>53</v>
      </c>
      <c r="D16" s="53" t="s">
        <v>20</v>
      </c>
      <c r="E16" s="43" t="s">
        <v>16</v>
      </c>
      <c r="F16" s="45">
        <v>236.93</v>
      </c>
      <c r="G16" s="46">
        <v>261.74</v>
      </c>
      <c r="H16" s="47">
        <v>6</v>
      </c>
      <c r="I16" s="46">
        <f>G16*H16</f>
        <v>1570.44</v>
      </c>
      <c r="J16" s="200">
        <v>6</v>
      </c>
      <c r="K16" s="78">
        <f>J16*G16</f>
        <v>1570.44</v>
      </c>
      <c r="L16" s="77">
        <f t="shared" si="0"/>
        <v>1</v>
      </c>
      <c r="M16" s="47">
        <f>H16</f>
        <v>6</v>
      </c>
      <c r="N16" s="78">
        <f>M16*G16</f>
        <v>1570.44</v>
      </c>
      <c r="O16" s="77">
        <f t="shared" si="1"/>
        <v>1</v>
      </c>
    </row>
    <row r="17" spans="1:15" s="5" customFormat="1" ht="12.75">
      <c r="A17" s="33">
        <v>3</v>
      </c>
      <c r="B17" s="33"/>
      <c r="C17" s="33"/>
      <c r="D17" s="54" t="s">
        <v>21</v>
      </c>
      <c r="E17" s="79"/>
      <c r="F17" s="80"/>
      <c r="G17" s="81"/>
      <c r="H17" s="80"/>
      <c r="I17" s="82">
        <f>I18</f>
        <v>1920.4744000000001</v>
      </c>
      <c r="J17" s="80"/>
      <c r="K17" s="83">
        <f>K18</f>
        <v>1920.4744000000001</v>
      </c>
      <c r="L17" s="84">
        <f t="shared" ref="L17:L22" si="2">K17/I17</f>
        <v>1</v>
      </c>
      <c r="M17" s="85"/>
      <c r="N17" s="83"/>
      <c r="O17" s="86"/>
    </row>
    <row r="18" spans="1:15" s="5" customFormat="1" ht="12.75">
      <c r="A18" s="35" t="s">
        <v>26</v>
      </c>
      <c r="B18" s="36"/>
      <c r="C18" s="37"/>
      <c r="D18" s="38" t="s">
        <v>240</v>
      </c>
      <c r="E18" s="32"/>
      <c r="F18" s="9"/>
      <c r="G18" s="11"/>
      <c r="H18" s="8"/>
      <c r="I18" s="87">
        <f>SUM(I19)</f>
        <v>1920.4744000000001</v>
      </c>
      <c r="J18" s="8"/>
      <c r="K18" s="88">
        <f>K19</f>
        <v>1920.4744000000001</v>
      </c>
      <c r="L18" s="89">
        <f t="shared" si="2"/>
        <v>1</v>
      </c>
      <c r="M18" s="8"/>
      <c r="N18" s="88"/>
      <c r="O18" s="90"/>
    </row>
    <row r="19" spans="1:15" s="5" customFormat="1" ht="12.75">
      <c r="A19" s="41" t="s">
        <v>239</v>
      </c>
      <c r="B19" s="42" t="s">
        <v>0</v>
      </c>
      <c r="C19" s="43" t="s">
        <v>136</v>
      </c>
      <c r="D19" s="53" t="s">
        <v>137</v>
      </c>
      <c r="E19" s="43" t="s">
        <v>16</v>
      </c>
      <c r="F19" s="46">
        <v>1.38</v>
      </c>
      <c r="G19" s="46">
        <v>1.52</v>
      </c>
      <c r="H19" s="47">
        <v>1263.47</v>
      </c>
      <c r="I19" s="46">
        <f>G19*H19</f>
        <v>1920.4744000000001</v>
      </c>
      <c r="J19" s="47">
        <f>H19</f>
        <v>1263.47</v>
      </c>
      <c r="K19" s="78">
        <f>J19*G19</f>
        <v>1920.4744000000001</v>
      </c>
      <c r="L19" s="77">
        <f t="shared" si="2"/>
        <v>1</v>
      </c>
      <c r="M19" s="43" t="s">
        <v>8</v>
      </c>
      <c r="N19" s="43" t="s">
        <v>8</v>
      </c>
      <c r="O19" s="43" t="s">
        <v>8</v>
      </c>
    </row>
    <row r="20" spans="1:15" s="5" customFormat="1" ht="12.75">
      <c r="A20" s="33">
        <v>4</v>
      </c>
      <c r="B20" s="33"/>
      <c r="C20" s="33"/>
      <c r="D20" s="54" t="s">
        <v>50</v>
      </c>
      <c r="E20" s="79"/>
      <c r="F20" s="80"/>
      <c r="G20" s="81"/>
      <c r="H20" s="80"/>
      <c r="I20" s="82">
        <f>SUM(I21,I27)</f>
        <v>84022.888800000001</v>
      </c>
      <c r="J20" s="80"/>
      <c r="K20" s="83">
        <f>K21</f>
        <v>28955.66</v>
      </c>
      <c r="L20" s="84">
        <f t="shared" si="2"/>
        <v>0.34461633506702283</v>
      </c>
      <c r="M20" s="85"/>
      <c r="N20" s="83">
        <f>N21</f>
        <v>28955.66</v>
      </c>
      <c r="O20" s="86">
        <f t="shared" ref="O20" si="3">N20/I20</f>
        <v>0.34461633506702283</v>
      </c>
    </row>
    <row r="21" spans="1:15" s="5" customFormat="1" ht="12.75">
      <c r="A21" s="35" t="s">
        <v>27</v>
      </c>
      <c r="B21" s="36"/>
      <c r="C21" s="37"/>
      <c r="D21" s="38" t="s">
        <v>68</v>
      </c>
      <c r="E21" s="32"/>
      <c r="F21" s="9"/>
      <c r="G21" s="11"/>
      <c r="H21" s="8"/>
      <c r="I21" s="87">
        <f>SUM(I22:I26)</f>
        <v>76535.968800000002</v>
      </c>
      <c r="J21" s="8"/>
      <c r="K21" s="88">
        <f>SUM(K22:K24)</f>
        <v>28955.66</v>
      </c>
      <c r="L21" s="89">
        <f t="shared" si="2"/>
        <v>0.37832747731547628</v>
      </c>
      <c r="M21" s="8"/>
      <c r="N21" s="88">
        <f>SUM(N22:N24)</f>
        <v>28955.66</v>
      </c>
      <c r="O21" s="90">
        <f t="shared" ref="O21" si="4">N21/I21</f>
        <v>0.37832747731547628</v>
      </c>
    </row>
    <row r="22" spans="1:15" s="5" customFormat="1" ht="22.5">
      <c r="A22" s="41" t="s">
        <v>69</v>
      </c>
      <c r="B22" s="42" t="s">
        <v>0</v>
      </c>
      <c r="C22" s="43">
        <v>96359</v>
      </c>
      <c r="D22" s="53" t="s">
        <v>48</v>
      </c>
      <c r="E22" s="43" t="s">
        <v>16</v>
      </c>
      <c r="F22" s="45">
        <v>99.65</v>
      </c>
      <c r="G22" s="46">
        <v>110.09</v>
      </c>
      <c r="H22" s="47">
        <v>389.61</v>
      </c>
      <c r="I22" s="46">
        <f>G22*H22</f>
        <v>42892.164900000003</v>
      </c>
      <c r="J22" s="43">
        <f>M22</f>
        <v>194</v>
      </c>
      <c r="K22" s="78">
        <f>J22*G22</f>
        <v>21357.46</v>
      </c>
      <c r="L22" s="77">
        <f t="shared" si="2"/>
        <v>0.49793383126716456</v>
      </c>
      <c r="M22" s="43">
        <v>194</v>
      </c>
      <c r="N22" s="78">
        <f>M22*G22</f>
        <v>21357.46</v>
      </c>
      <c r="O22" s="77">
        <f t="shared" ref="O22" si="5">N22/I22</f>
        <v>0.49793383126716456</v>
      </c>
    </row>
    <row r="23" spans="1:15" s="5" customFormat="1" ht="22.5">
      <c r="A23" s="41" t="s">
        <v>70</v>
      </c>
      <c r="B23" s="43" t="s">
        <v>22</v>
      </c>
      <c r="C23" s="43">
        <v>1</v>
      </c>
      <c r="D23" s="44" t="s">
        <v>138</v>
      </c>
      <c r="E23" s="43" t="s">
        <v>16</v>
      </c>
      <c r="F23" s="45">
        <f>[2]COMPOSIÇÕES!G7</f>
        <v>125.300318</v>
      </c>
      <c r="G23" s="46">
        <v>138.41999999999999</v>
      </c>
      <c r="H23" s="47">
        <v>26.19</v>
      </c>
      <c r="I23" s="46">
        <f>G23*H23</f>
        <v>3625.2197999999999</v>
      </c>
      <c r="J23" s="43">
        <f t="shared" ref="J23:J24" si="6">M23</f>
        <v>10</v>
      </c>
      <c r="K23" s="78">
        <f t="shared" ref="K23:K24" si="7">J23*G23</f>
        <v>1384.1999999999998</v>
      </c>
      <c r="L23" s="77">
        <f t="shared" ref="L23:L24" si="8">K23/I23</f>
        <v>0.38182512409316527</v>
      </c>
      <c r="M23" s="43">
        <v>10</v>
      </c>
      <c r="N23" s="78">
        <f t="shared" ref="N23:N24" si="9">M23*G23</f>
        <v>1384.1999999999998</v>
      </c>
      <c r="O23" s="77">
        <f t="shared" ref="O23:O24" si="10">N23/I23</f>
        <v>0.38182512409316527</v>
      </c>
    </row>
    <row r="24" spans="1:15" s="5" customFormat="1" ht="22.5">
      <c r="A24" s="41" t="s">
        <v>71</v>
      </c>
      <c r="B24" s="43" t="s">
        <v>22</v>
      </c>
      <c r="C24" s="43">
        <v>2</v>
      </c>
      <c r="D24" s="44" t="s">
        <v>49</v>
      </c>
      <c r="E24" s="43" t="s">
        <v>16</v>
      </c>
      <c r="F24" s="45">
        <f>[2]COMPOSIÇÕES!G21</f>
        <v>112.49583799999999</v>
      </c>
      <c r="G24" s="46">
        <v>124.28</v>
      </c>
      <c r="H24" s="47">
        <v>109.89</v>
      </c>
      <c r="I24" s="46">
        <f>G24*H24</f>
        <v>13657.129199999999</v>
      </c>
      <c r="J24" s="43">
        <f t="shared" si="6"/>
        <v>50</v>
      </c>
      <c r="K24" s="78">
        <f t="shared" si="7"/>
        <v>6214</v>
      </c>
      <c r="L24" s="77">
        <f t="shared" si="8"/>
        <v>0.455000455000455</v>
      </c>
      <c r="M24" s="43">
        <v>50</v>
      </c>
      <c r="N24" s="78">
        <f t="shared" si="9"/>
        <v>6214</v>
      </c>
      <c r="O24" s="77">
        <f t="shared" si="10"/>
        <v>0.455000455000455</v>
      </c>
    </row>
    <row r="25" spans="1:15" s="5" customFormat="1" ht="12.75">
      <c r="A25" s="41" t="s">
        <v>72</v>
      </c>
      <c r="B25" s="42" t="s">
        <v>0</v>
      </c>
      <c r="C25" s="43">
        <v>96372</v>
      </c>
      <c r="D25" s="53" t="s">
        <v>29</v>
      </c>
      <c r="E25" s="43" t="s">
        <v>16</v>
      </c>
      <c r="F25" s="45">
        <v>27.81</v>
      </c>
      <c r="G25" s="46">
        <v>30.71</v>
      </c>
      <c r="H25" s="47">
        <f>SUM(H22:H24)</f>
        <v>525.69000000000005</v>
      </c>
      <c r="I25" s="46">
        <f>G25*H25</f>
        <v>16143.939900000001</v>
      </c>
      <c r="J25" s="43" t="s">
        <v>8</v>
      </c>
      <c r="K25" s="43" t="s">
        <v>8</v>
      </c>
      <c r="L25" s="43" t="s">
        <v>8</v>
      </c>
      <c r="M25" s="43" t="s">
        <v>8</v>
      </c>
      <c r="N25" s="43" t="s">
        <v>8</v>
      </c>
      <c r="O25" s="43" t="s">
        <v>8</v>
      </c>
    </row>
    <row r="26" spans="1:15" s="5" customFormat="1" ht="12.75">
      <c r="A26" s="41" t="s">
        <v>73</v>
      </c>
      <c r="B26" s="42" t="s">
        <v>0</v>
      </c>
      <c r="C26" s="43">
        <v>96373</v>
      </c>
      <c r="D26" s="53" t="s">
        <v>30</v>
      </c>
      <c r="E26" s="43" t="s">
        <v>13</v>
      </c>
      <c r="F26" s="45">
        <v>7.73</v>
      </c>
      <c r="G26" s="46">
        <v>8.5299999999999994</v>
      </c>
      <c r="H26" s="47">
        <v>25.5</v>
      </c>
      <c r="I26" s="46">
        <f>G26*H26</f>
        <v>217.51499999999999</v>
      </c>
      <c r="J26" s="43" t="s">
        <v>8</v>
      </c>
      <c r="K26" s="43" t="s">
        <v>8</v>
      </c>
      <c r="L26" s="43" t="s">
        <v>8</v>
      </c>
      <c r="M26" s="43" t="s">
        <v>8</v>
      </c>
      <c r="N26" s="43" t="s">
        <v>8</v>
      </c>
      <c r="O26" s="43" t="s">
        <v>8</v>
      </c>
    </row>
    <row r="27" spans="1:15" s="5" customFormat="1" ht="12.75">
      <c r="A27" s="35" t="s">
        <v>28</v>
      </c>
      <c r="B27" s="36"/>
      <c r="C27" s="37"/>
      <c r="D27" s="38" t="s">
        <v>242</v>
      </c>
      <c r="E27" s="32"/>
      <c r="F27" s="9"/>
      <c r="G27" s="11"/>
      <c r="H27" s="8"/>
      <c r="I27" s="87">
        <f>SUM(I28:I28)</f>
        <v>7486.92</v>
      </c>
      <c r="J27" s="8"/>
      <c r="K27" s="88"/>
      <c r="L27" s="89"/>
      <c r="M27" s="8"/>
      <c r="N27" s="88"/>
      <c r="O27" s="90"/>
    </row>
    <row r="28" spans="1:15" s="5" customFormat="1" ht="22.5">
      <c r="A28" s="41" t="s">
        <v>241</v>
      </c>
      <c r="B28" s="42" t="s">
        <v>0</v>
      </c>
      <c r="C28" s="43" t="s">
        <v>309</v>
      </c>
      <c r="D28" s="44" t="s">
        <v>310</v>
      </c>
      <c r="E28" s="43" t="s">
        <v>16</v>
      </c>
      <c r="F28" s="45">
        <v>322.72000000000003</v>
      </c>
      <c r="G28" s="46">
        <v>356.52</v>
      </c>
      <c r="H28" s="47">
        <v>21</v>
      </c>
      <c r="I28" s="46">
        <f>G28*H28</f>
        <v>7486.92</v>
      </c>
      <c r="J28" s="43" t="s">
        <v>8</v>
      </c>
      <c r="K28" s="43" t="s">
        <v>8</v>
      </c>
      <c r="L28" s="43" t="s">
        <v>8</v>
      </c>
      <c r="M28" s="43" t="s">
        <v>8</v>
      </c>
      <c r="N28" s="43" t="s">
        <v>8</v>
      </c>
      <c r="O28" s="43" t="s">
        <v>8</v>
      </c>
    </row>
    <row r="29" spans="1:15" s="5" customFormat="1" ht="12.75">
      <c r="A29" s="33">
        <v>5</v>
      </c>
      <c r="B29" s="33"/>
      <c r="C29" s="33"/>
      <c r="D29" s="54" t="s">
        <v>31</v>
      </c>
      <c r="E29" s="79"/>
      <c r="F29" s="80"/>
      <c r="G29" s="81"/>
      <c r="H29" s="80"/>
      <c r="I29" s="82">
        <f>SUM(I30,I34,I38,I40)</f>
        <v>89260.665999999997</v>
      </c>
      <c r="J29" s="80"/>
      <c r="K29" s="83">
        <f>SUM(K30,K34,K38,K40)</f>
        <v>5692.7999999999993</v>
      </c>
      <c r="L29" s="84">
        <f>K29/I29</f>
        <v>6.3777252121331909E-2</v>
      </c>
      <c r="M29" s="85"/>
      <c r="N29" s="83">
        <f>SUM(N30,N34,N38,N40)</f>
        <v>5692.7999999999993</v>
      </c>
      <c r="O29" s="86">
        <f t="shared" ref="O29" si="11">N29/I29</f>
        <v>6.3777252121331909E-2</v>
      </c>
    </row>
    <row r="30" spans="1:15" s="10" customFormat="1" ht="12.75">
      <c r="A30" s="35" t="s">
        <v>32</v>
      </c>
      <c r="B30" s="36"/>
      <c r="C30" s="37"/>
      <c r="D30" s="38" t="s">
        <v>78</v>
      </c>
      <c r="E30" s="32"/>
      <c r="F30" s="9"/>
      <c r="G30" s="11"/>
      <c r="H30" s="8"/>
      <c r="I30" s="87">
        <f>SUM(I31:I33)</f>
        <v>13011.273999999999</v>
      </c>
      <c r="J30" s="8"/>
      <c r="K30" s="88"/>
      <c r="L30" s="89"/>
      <c r="M30" s="8"/>
      <c r="N30" s="88"/>
      <c r="O30" s="90"/>
    </row>
    <row r="31" spans="1:15" s="5" customFormat="1" ht="33.75">
      <c r="A31" s="41" t="s">
        <v>75</v>
      </c>
      <c r="B31" s="42" t="s">
        <v>22</v>
      </c>
      <c r="C31" s="43">
        <f>[2]COMPOSIÇÕES!B53</f>
        <v>5</v>
      </c>
      <c r="D31" s="53" t="s">
        <v>324</v>
      </c>
      <c r="E31" s="43" t="s">
        <v>16</v>
      </c>
      <c r="F31" s="45">
        <f>[2]COMPOSIÇÕES!G53</f>
        <v>81.936199999999985</v>
      </c>
      <c r="G31" s="46">
        <v>93.83</v>
      </c>
      <c r="H31" s="47">
        <v>100</v>
      </c>
      <c r="I31" s="46">
        <f>G31*H31</f>
        <v>9383</v>
      </c>
      <c r="J31" s="43" t="s">
        <v>8</v>
      </c>
      <c r="K31" s="43" t="s">
        <v>8</v>
      </c>
      <c r="L31" s="43" t="s">
        <v>8</v>
      </c>
      <c r="M31" s="43" t="s">
        <v>8</v>
      </c>
      <c r="N31" s="43" t="s">
        <v>8</v>
      </c>
      <c r="O31" s="43" t="s">
        <v>8</v>
      </c>
    </row>
    <row r="32" spans="1:15" s="5" customFormat="1" ht="12.75">
      <c r="A32" s="41" t="s">
        <v>76</v>
      </c>
      <c r="B32" s="42" t="s">
        <v>0</v>
      </c>
      <c r="C32" s="43">
        <v>88649</v>
      </c>
      <c r="D32" s="53" t="s">
        <v>308</v>
      </c>
      <c r="E32" s="43" t="s">
        <v>13</v>
      </c>
      <c r="F32" s="45">
        <v>5.12</v>
      </c>
      <c r="G32" s="46">
        <v>5.65</v>
      </c>
      <c r="H32" s="47">
        <v>500</v>
      </c>
      <c r="I32" s="46">
        <f>G32*H32</f>
        <v>2825</v>
      </c>
      <c r="J32" s="43" t="s">
        <v>8</v>
      </c>
      <c r="K32" s="43" t="s">
        <v>8</v>
      </c>
      <c r="L32" s="43" t="s">
        <v>8</v>
      </c>
      <c r="M32" s="43" t="s">
        <v>8</v>
      </c>
      <c r="N32" s="43" t="s">
        <v>8</v>
      </c>
      <c r="O32" s="43" t="s">
        <v>8</v>
      </c>
    </row>
    <row r="33" spans="1:15" s="5" customFormat="1" ht="12.75">
      <c r="A33" s="41" t="s">
        <v>77</v>
      </c>
      <c r="B33" s="42" t="s">
        <v>0</v>
      </c>
      <c r="C33" s="43">
        <v>98689</v>
      </c>
      <c r="D33" s="53" t="s">
        <v>120</v>
      </c>
      <c r="E33" s="43" t="s">
        <v>13</v>
      </c>
      <c r="F33" s="45">
        <v>87.61</v>
      </c>
      <c r="G33" s="46">
        <v>96.78</v>
      </c>
      <c r="H33" s="47">
        <v>8.3000000000000007</v>
      </c>
      <c r="I33" s="46">
        <f>G33*H33</f>
        <v>803.27400000000011</v>
      </c>
      <c r="J33" s="43" t="s">
        <v>8</v>
      </c>
      <c r="K33" s="43" t="s">
        <v>8</v>
      </c>
      <c r="L33" s="43" t="s">
        <v>8</v>
      </c>
      <c r="M33" s="43" t="s">
        <v>8</v>
      </c>
      <c r="N33" s="43" t="s">
        <v>8</v>
      </c>
      <c r="O33" s="43" t="s">
        <v>8</v>
      </c>
    </row>
    <row r="34" spans="1:15" s="10" customFormat="1" ht="12.75">
      <c r="A34" s="35" t="s">
        <v>196</v>
      </c>
      <c r="B34" s="36"/>
      <c r="C34" s="37"/>
      <c r="D34" s="38" t="s">
        <v>82</v>
      </c>
      <c r="E34" s="32"/>
      <c r="F34" s="9"/>
      <c r="G34" s="46"/>
      <c r="H34" s="8"/>
      <c r="I34" s="87">
        <f>SUM(I35:I37)</f>
        <v>37082.688999999998</v>
      </c>
      <c r="J34" s="8"/>
      <c r="K34" s="88">
        <f>SUM(K35:K37)</f>
        <v>5692.7999999999993</v>
      </c>
      <c r="L34" s="89">
        <f>K34/I34</f>
        <v>0.15351637525531117</v>
      </c>
      <c r="M34" s="8"/>
      <c r="N34" s="88">
        <f>SUM(N35:N37)</f>
        <v>5692.7999999999993</v>
      </c>
      <c r="O34" s="90">
        <f t="shared" ref="O34" si="12">N34/I34</f>
        <v>0.15351637525531117</v>
      </c>
    </row>
    <row r="35" spans="1:15" s="5" customFormat="1" ht="12.75">
      <c r="A35" s="41" t="s">
        <v>245</v>
      </c>
      <c r="B35" s="42" t="s">
        <v>12</v>
      </c>
      <c r="C35" s="43">
        <v>1996</v>
      </c>
      <c r="D35" s="53" t="s">
        <v>205</v>
      </c>
      <c r="E35" s="43" t="s">
        <v>16</v>
      </c>
      <c r="F35" s="45">
        <v>415.18</v>
      </c>
      <c r="G35" s="46">
        <v>458.67</v>
      </c>
      <c r="H35" s="47">
        <v>0.7</v>
      </c>
      <c r="I35" s="46">
        <f>G35*H35</f>
        <v>321.06900000000002</v>
      </c>
      <c r="J35" s="43" t="s">
        <v>8</v>
      </c>
      <c r="K35" s="43" t="s">
        <v>8</v>
      </c>
      <c r="L35" s="43" t="s">
        <v>8</v>
      </c>
      <c r="M35" s="43" t="s">
        <v>8</v>
      </c>
      <c r="N35" s="43" t="s">
        <v>8</v>
      </c>
      <c r="O35" s="43" t="s">
        <v>8</v>
      </c>
    </row>
    <row r="36" spans="1:15" s="5" customFormat="1" ht="22.5">
      <c r="A36" s="41" t="s">
        <v>311</v>
      </c>
      <c r="B36" s="42" t="s">
        <v>22</v>
      </c>
      <c r="C36" s="43">
        <f>[2]COMPOSIÇÕES!B61</f>
        <v>6</v>
      </c>
      <c r="D36" s="44" t="s">
        <v>325</v>
      </c>
      <c r="E36" s="43" t="s">
        <v>16</v>
      </c>
      <c r="F36" s="45">
        <f>[2]COMPOSIÇÕES!G61</f>
        <v>64.417599999999993</v>
      </c>
      <c r="G36" s="46">
        <v>71.16</v>
      </c>
      <c r="H36" s="47">
        <v>400</v>
      </c>
      <c r="I36" s="46">
        <f>G36*H36</f>
        <v>28464</v>
      </c>
      <c r="J36" s="43">
        <f>M36</f>
        <v>80</v>
      </c>
      <c r="K36" s="78">
        <f t="shared" ref="K36" si="13">J36*G36</f>
        <v>5692.7999999999993</v>
      </c>
      <c r="L36" s="77">
        <f t="shared" ref="L36" si="14">K36/I36</f>
        <v>0.19999999999999998</v>
      </c>
      <c r="M36" s="43">
        <v>80</v>
      </c>
      <c r="N36" s="78">
        <f t="shared" ref="N36" si="15">M36*G36</f>
        <v>5692.7999999999993</v>
      </c>
      <c r="O36" s="77">
        <f t="shared" ref="O36" si="16">N36/I36</f>
        <v>0.19999999999999998</v>
      </c>
    </row>
    <row r="37" spans="1:15" s="5" customFormat="1" ht="12.75">
      <c r="A37" s="41" t="s">
        <v>312</v>
      </c>
      <c r="B37" s="43" t="s">
        <v>1</v>
      </c>
      <c r="C37" s="43">
        <f>[2]COTAÇÕES!B24</f>
        <v>2</v>
      </c>
      <c r="D37" s="44" t="s">
        <v>251</v>
      </c>
      <c r="E37" s="43" t="s">
        <v>13</v>
      </c>
      <c r="F37" s="45">
        <f>[2]COTAÇÕES!G24</f>
        <v>101.51125</v>
      </c>
      <c r="G37" s="46">
        <v>112.13</v>
      </c>
      <c r="H37" s="47">
        <v>74</v>
      </c>
      <c r="I37" s="46">
        <f>G37*H37</f>
        <v>8297.619999999999</v>
      </c>
      <c r="J37" s="43" t="s">
        <v>8</v>
      </c>
      <c r="K37" s="43" t="s">
        <v>8</v>
      </c>
      <c r="L37" s="43" t="s">
        <v>8</v>
      </c>
      <c r="M37" s="43" t="s">
        <v>8</v>
      </c>
      <c r="N37" s="43" t="s">
        <v>8</v>
      </c>
      <c r="O37" s="43" t="s">
        <v>8</v>
      </c>
    </row>
    <row r="38" spans="1:15" s="10" customFormat="1" ht="12.75">
      <c r="A38" s="35" t="s">
        <v>33</v>
      </c>
      <c r="B38" s="36"/>
      <c r="C38" s="37"/>
      <c r="D38" s="38" t="s">
        <v>34</v>
      </c>
      <c r="E38" s="32"/>
      <c r="F38" s="9"/>
      <c r="G38" s="46"/>
      <c r="H38" s="8"/>
      <c r="I38" s="87">
        <f>SUM(I39)</f>
        <v>10590.800000000001</v>
      </c>
      <c r="J38" s="8"/>
      <c r="K38" s="88"/>
      <c r="L38" s="89"/>
      <c r="M38" s="8"/>
      <c r="N38" s="88"/>
      <c r="O38" s="90"/>
    </row>
    <row r="39" spans="1:15" s="5" customFormat="1" ht="12.75">
      <c r="A39" s="41" t="s">
        <v>246</v>
      </c>
      <c r="B39" s="42" t="s">
        <v>0</v>
      </c>
      <c r="C39" s="43">
        <v>96114</v>
      </c>
      <c r="D39" s="53" t="s">
        <v>35</v>
      </c>
      <c r="E39" s="43" t="s">
        <v>16</v>
      </c>
      <c r="F39" s="45">
        <v>66.12</v>
      </c>
      <c r="G39" s="46">
        <v>73.040000000000006</v>
      </c>
      <c r="H39" s="47">
        <v>145</v>
      </c>
      <c r="I39" s="46">
        <f>G39*H39</f>
        <v>10590.800000000001</v>
      </c>
      <c r="J39" s="43" t="s">
        <v>8</v>
      </c>
      <c r="K39" s="43" t="s">
        <v>8</v>
      </c>
      <c r="L39" s="43" t="s">
        <v>8</v>
      </c>
      <c r="M39" s="43" t="s">
        <v>8</v>
      </c>
      <c r="N39" s="43" t="s">
        <v>8</v>
      </c>
      <c r="O39" s="43" t="s">
        <v>8</v>
      </c>
    </row>
    <row r="40" spans="1:15" s="10" customFormat="1" ht="15">
      <c r="A40" s="35" t="s">
        <v>313</v>
      </c>
      <c r="B40" s="36"/>
      <c r="C40" s="37"/>
      <c r="D40" s="38" t="s">
        <v>87</v>
      </c>
      <c r="E40" s="32"/>
      <c r="F40" s="9"/>
      <c r="G40" s="46"/>
      <c r="H40" s="8"/>
      <c r="I40" s="87">
        <f>SUM(I41)</f>
        <v>28575.903000000002</v>
      </c>
      <c r="J40" s="8"/>
      <c r="K40" s="88"/>
      <c r="L40" s="89"/>
      <c r="M40" s="8"/>
      <c r="N40" s="88"/>
      <c r="O40" s="55"/>
    </row>
    <row r="41" spans="1:15" s="5" customFormat="1" ht="16.5" customHeight="1">
      <c r="A41" s="41" t="s">
        <v>314</v>
      </c>
      <c r="B41" s="43" t="s">
        <v>22</v>
      </c>
      <c r="C41" s="43">
        <f>[2]COMPOSIÇÕES!B46</f>
        <v>4</v>
      </c>
      <c r="D41" s="44" t="s">
        <v>252</v>
      </c>
      <c r="E41" s="43" t="s">
        <v>16</v>
      </c>
      <c r="F41" s="45">
        <f>[2]COMPOSIÇÕES!G46</f>
        <v>101.29941300000002</v>
      </c>
      <c r="G41" s="46">
        <v>111.9</v>
      </c>
      <c r="H41" s="47">
        <v>255.37</v>
      </c>
      <c r="I41" s="46">
        <f>G41*H41</f>
        <v>28575.903000000002</v>
      </c>
      <c r="J41" s="43" t="s">
        <v>8</v>
      </c>
      <c r="K41" s="43" t="s">
        <v>8</v>
      </c>
      <c r="L41" s="43" t="s">
        <v>8</v>
      </c>
      <c r="M41" s="43" t="s">
        <v>8</v>
      </c>
      <c r="N41" s="43" t="s">
        <v>8</v>
      </c>
      <c r="O41" s="43" t="s">
        <v>8</v>
      </c>
    </row>
    <row r="42" spans="1:15" s="5" customFormat="1" ht="12.75">
      <c r="A42" s="33">
        <v>6</v>
      </c>
      <c r="B42" s="33"/>
      <c r="C42" s="33"/>
      <c r="D42" s="54" t="s">
        <v>36</v>
      </c>
      <c r="E42" s="79"/>
      <c r="F42" s="80"/>
      <c r="G42" s="81"/>
      <c r="H42" s="80"/>
      <c r="I42" s="82">
        <f>SUM(I43,I48,I51,I54)</f>
        <v>48315.277399999999</v>
      </c>
      <c r="J42" s="80"/>
      <c r="K42" s="83"/>
      <c r="L42" s="84"/>
      <c r="M42" s="85"/>
      <c r="N42" s="83"/>
      <c r="O42" s="86"/>
    </row>
    <row r="43" spans="1:15" s="5" customFormat="1" ht="12.75">
      <c r="A43" s="35" t="s">
        <v>37</v>
      </c>
      <c r="B43" s="36"/>
      <c r="C43" s="37"/>
      <c r="D43" s="38" t="s">
        <v>82</v>
      </c>
      <c r="E43" s="32"/>
      <c r="F43" s="9"/>
      <c r="G43" s="11"/>
      <c r="H43" s="8"/>
      <c r="I43" s="87">
        <f>SUM(I44:I47)</f>
        <v>23886.94</v>
      </c>
      <c r="J43" s="8"/>
      <c r="K43" s="88"/>
      <c r="L43" s="89"/>
      <c r="M43" s="8"/>
      <c r="N43" s="88"/>
      <c r="O43" s="90"/>
    </row>
    <row r="44" spans="1:15" s="5" customFormat="1" ht="17.25" customHeight="1">
      <c r="A44" s="41" t="s">
        <v>79</v>
      </c>
      <c r="B44" s="42" t="s">
        <v>0</v>
      </c>
      <c r="C44" s="43">
        <v>95626</v>
      </c>
      <c r="D44" s="44" t="s">
        <v>43</v>
      </c>
      <c r="E44" s="43" t="s">
        <v>16</v>
      </c>
      <c r="F44" s="45">
        <v>12.95</v>
      </c>
      <c r="G44" s="46">
        <v>14.3</v>
      </c>
      <c r="H44" s="47">
        <v>290</v>
      </c>
      <c r="I44" s="46">
        <f>G44*H44</f>
        <v>4147</v>
      </c>
      <c r="J44" s="43" t="s">
        <v>8</v>
      </c>
      <c r="K44" s="43" t="s">
        <v>8</v>
      </c>
      <c r="L44" s="43" t="s">
        <v>8</v>
      </c>
      <c r="M44" s="43" t="s">
        <v>8</v>
      </c>
      <c r="N44" s="43" t="s">
        <v>8</v>
      </c>
      <c r="O44" s="43" t="s">
        <v>8</v>
      </c>
    </row>
    <row r="45" spans="1:15" s="5" customFormat="1" ht="12.75">
      <c r="A45" s="41" t="s">
        <v>80</v>
      </c>
      <c r="B45" s="42" t="s">
        <v>0</v>
      </c>
      <c r="C45" s="43">
        <v>88497</v>
      </c>
      <c r="D45" s="44" t="s">
        <v>98</v>
      </c>
      <c r="E45" s="43" t="s">
        <v>16</v>
      </c>
      <c r="F45" s="45">
        <v>12.61</v>
      </c>
      <c r="G45" s="46">
        <v>13.93</v>
      </c>
      <c r="H45" s="47">
        <v>453</v>
      </c>
      <c r="I45" s="46">
        <f>G45*H45</f>
        <v>6310.29</v>
      </c>
      <c r="J45" s="43" t="s">
        <v>8</v>
      </c>
      <c r="K45" s="43" t="s">
        <v>8</v>
      </c>
      <c r="L45" s="43" t="s">
        <v>8</v>
      </c>
      <c r="M45" s="43" t="s">
        <v>8</v>
      </c>
      <c r="N45" s="43" t="s">
        <v>8</v>
      </c>
      <c r="O45" s="43" t="s">
        <v>8</v>
      </c>
    </row>
    <row r="46" spans="1:15" s="5" customFormat="1" ht="12.75">
      <c r="A46" s="41" t="s">
        <v>81</v>
      </c>
      <c r="B46" s="42" t="s">
        <v>0</v>
      </c>
      <c r="C46" s="43">
        <v>88495</v>
      </c>
      <c r="D46" s="44" t="s">
        <v>99</v>
      </c>
      <c r="E46" s="43" t="s">
        <v>16</v>
      </c>
      <c r="F46" s="45">
        <v>9.1300000000000008</v>
      </c>
      <c r="G46" s="46">
        <v>10.08</v>
      </c>
      <c r="H46" s="47">
        <v>735</v>
      </c>
      <c r="I46" s="46">
        <f>G46*H46</f>
        <v>7408.8</v>
      </c>
      <c r="J46" s="43" t="s">
        <v>8</v>
      </c>
      <c r="K46" s="43" t="s">
        <v>8</v>
      </c>
      <c r="L46" s="43" t="s">
        <v>8</v>
      </c>
      <c r="M46" s="43" t="s">
        <v>8</v>
      </c>
      <c r="N46" s="43" t="s">
        <v>8</v>
      </c>
      <c r="O46" s="43" t="s">
        <v>8</v>
      </c>
    </row>
    <row r="47" spans="1:15" s="5" customFormat="1" ht="22.5">
      <c r="A47" s="41" t="s">
        <v>321</v>
      </c>
      <c r="B47" s="42" t="s">
        <v>0</v>
      </c>
      <c r="C47" s="43">
        <v>88489</v>
      </c>
      <c r="D47" s="53" t="s">
        <v>46</v>
      </c>
      <c r="E47" s="43" t="s">
        <v>16</v>
      </c>
      <c r="F47" s="45">
        <v>12.25</v>
      </c>
      <c r="G47" s="46">
        <v>13.53</v>
      </c>
      <c r="H47" s="47">
        <v>445</v>
      </c>
      <c r="I47" s="46">
        <f>G47*H47</f>
        <v>6020.8499999999995</v>
      </c>
      <c r="J47" s="43" t="s">
        <v>8</v>
      </c>
      <c r="K47" s="43" t="s">
        <v>8</v>
      </c>
      <c r="L47" s="43" t="s">
        <v>8</v>
      </c>
      <c r="M47" s="43" t="s">
        <v>8</v>
      </c>
      <c r="N47" s="43" t="s">
        <v>8</v>
      </c>
      <c r="O47" s="43" t="s">
        <v>8</v>
      </c>
    </row>
    <row r="48" spans="1:15" s="10" customFormat="1" ht="12.75">
      <c r="A48" s="35" t="s">
        <v>41</v>
      </c>
      <c r="B48" s="36"/>
      <c r="C48" s="37"/>
      <c r="D48" s="38" t="s">
        <v>34</v>
      </c>
      <c r="E48" s="32"/>
      <c r="F48" s="9"/>
      <c r="G48" s="46"/>
      <c r="H48" s="8"/>
      <c r="I48" s="87">
        <f>SUM(I49:I50)</f>
        <v>16136.560000000001</v>
      </c>
      <c r="J48" s="8"/>
      <c r="K48" s="88"/>
      <c r="L48" s="89"/>
      <c r="M48" s="8"/>
      <c r="N48" s="88"/>
      <c r="O48" s="92"/>
    </row>
    <row r="49" spans="1:15" s="5" customFormat="1" ht="12.75">
      <c r="A49" s="41" t="s">
        <v>83</v>
      </c>
      <c r="B49" s="42" t="s">
        <v>0</v>
      </c>
      <c r="C49" s="43">
        <v>88494</v>
      </c>
      <c r="D49" s="53" t="s">
        <v>44</v>
      </c>
      <c r="E49" s="43" t="s">
        <v>16</v>
      </c>
      <c r="F49" s="45">
        <v>16.41</v>
      </c>
      <c r="G49" s="46">
        <v>18.12</v>
      </c>
      <c r="H49" s="47">
        <v>484</v>
      </c>
      <c r="I49" s="46">
        <f>G49*H49</f>
        <v>8770.08</v>
      </c>
      <c r="J49" s="43" t="s">
        <v>8</v>
      </c>
      <c r="K49" s="43" t="s">
        <v>8</v>
      </c>
      <c r="L49" s="43" t="s">
        <v>8</v>
      </c>
      <c r="M49" s="43" t="s">
        <v>8</v>
      </c>
      <c r="N49" s="43" t="s">
        <v>8</v>
      </c>
      <c r="O49" s="43" t="s">
        <v>8</v>
      </c>
    </row>
    <row r="50" spans="1:15" s="5" customFormat="1" ht="22.5">
      <c r="A50" s="41" t="s">
        <v>84</v>
      </c>
      <c r="B50" s="42" t="s">
        <v>0</v>
      </c>
      <c r="C50" s="43">
        <v>88488</v>
      </c>
      <c r="D50" s="53" t="s">
        <v>47</v>
      </c>
      <c r="E50" s="43" t="s">
        <v>16</v>
      </c>
      <c r="F50" s="45">
        <v>13.78</v>
      </c>
      <c r="G50" s="46">
        <v>15.22</v>
      </c>
      <c r="H50" s="47">
        <v>484</v>
      </c>
      <c r="I50" s="46">
        <f>G50*H50</f>
        <v>7366.4800000000005</v>
      </c>
      <c r="J50" s="43" t="s">
        <v>8</v>
      </c>
      <c r="K50" s="43" t="s">
        <v>8</v>
      </c>
      <c r="L50" s="43" t="s">
        <v>8</v>
      </c>
      <c r="M50" s="43" t="s">
        <v>8</v>
      </c>
      <c r="N50" s="43" t="s">
        <v>8</v>
      </c>
      <c r="O50" s="43" t="s">
        <v>8</v>
      </c>
    </row>
    <row r="51" spans="1:15" s="10" customFormat="1" ht="12.75">
      <c r="A51" s="35" t="s">
        <v>42</v>
      </c>
      <c r="B51" s="36"/>
      <c r="C51" s="37"/>
      <c r="D51" s="38" t="s">
        <v>93</v>
      </c>
      <c r="E51" s="32"/>
      <c r="F51" s="9"/>
      <c r="G51" s="46"/>
      <c r="H51" s="8"/>
      <c r="I51" s="87">
        <f>SUM(I52:I53)</f>
        <v>7123.9884999999995</v>
      </c>
      <c r="J51" s="8"/>
      <c r="K51" s="88"/>
      <c r="L51" s="89"/>
      <c r="M51" s="8"/>
      <c r="N51" s="88"/>
      <c r="O51" s="92"/>
    </row>
    <row r="52" spans="1:15" s="5" customFormat="1" ht="12.75">
      <c r="A52" s="41" t="s">
        <v>85</v>
      </c>
      <c r="B52" s="42" t="s">
        <v>0</v>
      </c>
      <c r="C52" s="43">
        <v>84679</v>
      </c>
      <c r="D52" s="53" t="s">
        <v>51</v>
      </c>
      <c r="E52" s="43" t="s">
        <v>16</v>
      </c>
      <c r="F52" s="45">
        <v>18.55</v>
      </c>
      <c r="G52" s="46">
        <v>20.48</v>
      </c>
      <c r="H52" s="47">
        <v>152.44999999999999</v>
      </c>
      <c r="I52" s="46">
        <f>G52*H52</f>
        <v>3122.1759999999999</v>
      </c>
      <c r="J52" s="43" t="s">
        <v>8</v>
      </c>
      <c r="K52" s="43" t="s">
        <v>8</v>
      </c>
      <c r="L52" s="43" t="s">
        <v>8</v>
      </c>
      <c r="M52" s="43" t="s">
        <v>8</v>
      </c>
      <c r="N52" s="43" t="s">
        <v>8</v>
      </c>
      <c r="O52" s="43" t="s">
        <v>8</v>
      </c>
    </row>
    <row r="53" spans="1:15" s="5" customFormat="1" ht="22.5">
      <c r="A53" s="41" t="s">
        <v>322</v>
      </c>
      <c r="B53" s="42" t="s">
        <v>0</v>
      </c>
      <c r="C53" s="43" t="s">
        <v>52</v>
      </c>
      <c r="D53" s="53" t="s">
        <v>54</v>
      </c>
      <c r="E53" s="43" t="s">
        <v>16</v>
      </c>
      <c r="F53" s="45">
        <v>23.77</v>
      </c>
      <c r="G53" s="46">
        <v>26.25</v>
      </c>
      <c r="H53" s="47">
        <v>152.44999999999999</v>
      </c>
      <c r="I53" s="46">
        <f>G53*H53</f>
        <v>4001.8124999999995</v>
      </c>
      <c r="J53" s="43" t="s">
        <v>8</v>
      </c>
      <c r="K53" s="43" t="s">
        <v>8</v>
      </c>
      <c r="L53" s="43" t="s">
        <v>8</v>
      </c>
      <c r="M53" s="43" t="s">
        <v>8</v>
      </c>
      <c r="N53" s="43" t="s">
        <v>8</v>
      </c>
      <c r="O53" s="43" t="s">
        <v>8</v>
      </c>
    </row>
    <row r="54" spans="1:15" s="10" customFormat="1" ht="12.75">
      <c r="A54" s="35" t="s">
        <v>45</v>
      </c>
      <c r="B54" s="36"/>
      <c r="C54" s="37"/>
      <c r="D54" s="38" t="s">
        <v>95</v>
      </c>
      <c r="E54" s="32"/>
      <c r="F54" s="9"/>
      <c r="G54" s="46"/>
      <c r="H54" s="8"/>
      <c r="I54" s="87">
        <f>SUM(I55:I56)</f>
        <v>1167.7889</v>
      </c>
      <c r="J54" s="8"/>
      <c r="K54" s="88"/>
      <c r="L54" s="89"/>
      <c r="M54" s="8"/>
      <c r="N54" s="88"/>
      <c r="O54" s="92"/>
    </row>
    <row r="55" spans="1:15" s="5" customFormat="1" ht="12.75">
      <c r="A55" s="41" t="s">
        <v>86</v>
      </c>
      <c r="B55" s="42" t="s">
        <v>0</v>
      </c>
      <c r="C55" s="43" t="s">
        <v>55</v>
      </c>
      <c r="D55" s="53" t="s">
        <v>56</v>
      </c>
      <c r="E55" s="43" t="s">
        <v>16</v>
      </c>
      <c r="F55" s="45">
        <v>19.329999999999998</v>
      </c>
      <c r="G55" s="46">
        <v>21.34</v>
      </c>
      <c r="H55" s="47">
        <v>23.46</v>
      </c>
      <c r="I55" s="46">
        <f>G55*H55</f>
        <v>500.63640000000004</v>
      </c>
      <c r="J55" s="43" t="s">
        <v>8</v>
      </c>
      <c r="K55" s="43" t="s">
        <v>8</v>
      </c>
      <c r="L55" s="43" t="s">
        <v>8</v>
      </c>
      <c r="M55" s="43" t="s">
        <v>8</v>
      </c>
      <c r="N55" s="43" t="s">
        <v>8</v>
      </c>
      <c r="O55" s="43" t="s">
        <v>8</v>
      </c>
    </row>
    <row r="56" spans="1:15" s="5" customFormat="1" ht="12.75">
      <c r="A56" s="41" t="s">
        <v>323</v>
      </c>
      <c r="B56" s="42" t="s">
        <v>0</v>
      </c>
      <c r="C56" s="43" t="s">
        <v>57</v>
      </c>
      <c r="D56" s="53" t="s">
        <v>58</v>
      </c>
      <c r="E56" s="43" t="s">
        <v>16</v>
      </c>
      <c r="F56" s="45">
        <v>25.75</v>
      </c>
      <c r="G56" s="46">
        <v>28.45</v>
      </c>
      <c r="H56" s="47">
        <v>23.45</v>
      </c>
      <c r="I56" s="46">
        <f>G56*H56</f>
        <v>667.15249999999992</v>
      </c>
      <c r="J56" s="43" t="s">
        <v>8</v>
      </c>
      <c r="K56" s="43" t="s">
        <v>8</v>
      </c>
      <c r="L56" s="43" t="s">
        <v>8</v>
      </c>
      <c r="M56" s="43" t="s">
        <v>8</v>
      </c>
      <c r="N56" s="43" t="s">
        <v>8</v>
      </c>
      <c r="O56" s="43" t="s">
        <v>8</v>
      </c>
    </row>
    <row r="57" spans="1:15" s="5" customFormat="1" ht="12.75">
      <c r="A57" s="33">
        <v>7</v>
      </c>
      <c r="B57" s="33"/>
      <c r="C57" s="33"/>
      <c r="D57" s="54" t="s">
        <v>62</v>
      </c>
      <c r="E57" s="79"/>
      <c r="F57" s="80"/>
      <c r="G57" s="81"/>
      <c r="H57" s="80"/>
      <c r="I57" s="82">
        <f>SUM(I58,I69,I71)</f>
        <v>57011.048800000004</v>
      </c>
      <c r="J57" s="80"/>
      <c r="K57" s="83"/>
      <c r="L57" s="84"/>
      <c r="M57" s="85"/>
      <c r="N57" s="83"/>
      <c r="O57" s="86"/>
    </row>
    <row r="58" spans="1:15" s="5" customFormat="1" ht="12.75">
      <c r="A58" s="35" t="s">
        <v>59</v>
      </c>
      <c r="B58" s="36"/>
      <c r="C58" s="37"/>
      <c r="D58" s="38" t="s">
        <v>74</v>
      </c>
      <c r="E58" s="32"/>
      <c r="F58" s="9"/>
      <c r="G58" s="11"/>
      <c r="H58" s="8"/>
      <c r="I58" s="87">
        <f>SUM(I59:I68)</f>
        <v>56033.911600000007</v>
      </c>
      <c r="J58" s="8"/>
      <c r="K58" s="88"/>
      <c r="L58" s="89"/>
      <c r="M58" s="8"/>
      <c r="N58" s="88"/>
      <c r="O58" s="90"/>
    </row>
    <row r="59" spans="1:15" s="5" customFormat="1" ht="12.75">
      <c r="A59" s="41" t="s">
        <v>88</v>
      </c>
      <c r="B59" s="42" t="s">
        <v>0</v>
      </c>
      <c r="C59" s="43">
        <v>90844</v>
      </c>
      <c r="D59" s="53" t="s">
        <v>139</v>
      </c>
      <c r="E59" s="2" t="s">
        <v>11</v>
      </c>
      <c r="F59" s="45">
        <v>867.73</v>
      </c>
      <c r="G59" s="46">
        <v>958.62</v>
      </c>
      <c r="H59" s="47">
        <v>19</v>
      </c>
      <c r="I59" s="46">
        <f>G59*H59</f>
        <v>18213.78</v>
      </c>
      <c r="J59" s="43" t="s">
        <v>8</v>
      </c>
      <c r="K59" s="43" t="s">
        <v>8</v>
      </c>
      <c r="L59" s="43" t="s">
        <v>8</v>
      </c>
      <c r="M59" s="43" t="s">
        <v>8</v>
      </c>
      <c r="N59" s="43" t="s">
        <v>8</v>
      </c>
      <c r="O59" s="43" t="s">
        <v>8</v>
      </c>
    </row>
    <row r="60" spans="1:15" s="5" customFormat="1" ht="12.75">
      <c r="A60" s="41" t="s">
        <v>89</v>
      </c>
      <c r="B60" s="42" t="s">
        <v>0</v>
      </c>
      <c r="C60" s="43">
        <v>90843</v>
      </c>
      <c r="D60" s="53" t="s">
        <v>140</v>
      </c>
      <c r="E60" s="2" t="s">
        <v>11</v>
      </c>
      <c r="F60" s="45">
        <v>835.78</v>
      </c>
      <c r="G60" s="46">
        <v>923.33</v>
      </c>
      <c r="H60" s="47">
        <v>17</v>
      </c>
      <c r="I60" s="46">
        <f>G60*H60</f>
        <v>15696.61</v>
      </c>
      <c r="J60" s="43" t="s">
        <v>8</v>
      </c>
      <c r="K60" s="43" t="s">
        <v>8</v>
      </c>
      <c r="L60" s="43" t="s">
        <v>8</v>
      </c>
      <c r="M60" s="43" t="s">
        <v>8</v>
      </c>
      <c r="N60" s="43" t="s">
        <v>8</v>
      </c>
      <c r="O60" s="43" t="s">
        <v>8</v>
      </c>
    </row>
    <row r="61" spans="1:15" s="5" customFormat="1" ht="22.5">
      <c r="A61" s="41" t="s">
        <v>90</v>
      </c>
      <c r="B61" s="42" t="s">
        <v>12</v>
      </c>
      <c r="C61" s="42">
        <v>3625</v>
      </c>
      <c r="D61" s="53" t="s">
        <v>197</v>
      </c>
      <c r="E61" s="2" t="s">
        <v>11</v>
      </c>
      <c r="F61" s="45">
        <v>604.65</v>
      </c>
      <c r="G61" s="46">
        <v>667.98</v>
      </c>
      <c r="H61" s="47">
        <v>10</v>
      </c>
      <c r="I61" s="46">
        <f t="shared" ref="I61:I68" si="17">G61*H61</f>
        <v>6679.8</v>
      </c>
      <c r="J61" s="43" t="s">
        <v>8</v>
      </c>
      <c r="K61" s="43" t="s">
        <v>8</v>
      </c>
      <c r="L61" s="43" t="s">
        <v>8</v>
      </c>
      <c r="M61" s="43" t="s">
        <v>8</v>
      </c>
      <c r="N61" s="43" t="s">
        <v>8</v>
      </c>
      <c r="O61" s="43" t="s">
        <v>8</v>
      </c>
    </row>
    <row r="62" spans="1:15" s="5" customFormat="1" ht="22.5">
      <c r="A62" s="41" t="s">
        <v>91</v>
      </c>
      <c r="B62" s="42" t="s">
        <v>12</v>
      </c>
      <c r="C62" s="43">
        <v>8375</v>
      </c>
      <c r="D62" s="53" t="s">
        <v>198</v>
      </c>
      <c r="E62" s="2" t="s">
        <v>11</v>
      </c>
      <c r="F62" s="45">
        <v>833.03</v>
      </c>
      <c r="G62" s="46">
        <v>920.28</v>
      </c>
      <c r="H62" s="47">
        <v>1</v>
      </c>
      <c r="I62" s="46">
        <f t="shared" si="17"/>
        <v>920.28</v>
      </c>
      <c r="J62" s="43" t="s">
        <v>8</v>
      </c>
      <c r="K62" s="43" t="s">
        <v>8</v>
      </c>
      <c r="L62" s="43" t="s">
        <v>8</v>
      </c>
      <c r="M62" s="43" t="s">
        <v>8</v>
      </c>
      <c r="N62" s="43" t="s">
        <v>8</v>
      </c>
      <c r="O62" s="43" t="s">
        <v>8</v>
      </c>
    </row>
    <row r="63" spans="1:15" s="5" customFormat="1" ht="22.5">
      <c r="A63" s="41" t="s">
        <v>315</v>
      </c>
      <c r="B63" s="42" t="s">
        <v>12</v>
      </c>
      <c r="C63" s="43">
        <v>11836</v>
      </c>
      <c r="D63" s="53" t="s">
        <v>199</v>
      </c>
      <c r="E63" s="2" t="s">
        <v>11</v>
      </c>
      <c r="F63" s="45">
        <v>822.46</v>
      </c>
      <c r="G63" s="46">
        <v>908.61</v>
      </c>
      <c r="H63" s="47">
        <v>1</v>
      </c>
      <c r="I63" s="46">
        <f t="shared" si="17"/>
        <v>908.61</v>
      </c>
      <c r="J63" s="43" t="s">
        <v>8</v>
      </c>
      <c r="K63" s="43" t="s">
        <v>8</v>
      </c>
      <c r="L63" s="43" t="s">
        <v>8</v>
      </c>
      <c r="M63" s="43" t="s">
        <v>8</v>
      </c>
      <c r="N63" s="43" t="s">
        <v>8</v>
      </c>
      <c r="O63" s="43" t="s">
        <v>8</v>
      </c>
    </row>
    <row r="64" spans="1:15" s="5" customFormat="1" ht="12.75">
      <c r="A64" s="41" t="s">
        <v>316</v>
      </c>
      <c r="B64" s="42" t="s">
        <v>12</v>
      </c>
      <c r="C64" s="43">
        <v>11948</v>
      </c>
      <c r="D64" s="53" t="s">
        <v>200</v>
      </c>
      <c r="E64" s="43" t="s">
        <v>16</v>
      </c>
      <c r="F64" s="45">
        <v>310.32</v>
      </c>
      <c r="G64" s="46">
        <v>342.81</v>
      </c>
      <c r="H64" s="47">
        <v>7.44</v>
      </c>
      <c r="I64" s="46">
        <f t="shared" si="17"/>
        <v>2550.5064000000002</v>
      </c>
      <c r="J64" s="43" t="s">
        <v>8</v>
      </c>
      <c r="K64" s="43" t="s">
        <v>8</v>
      </c>
      <c r="L64" s="43" t="s">
        <v>8</v>
      </c>
      <c r="M64" s="43" t="s">
        <v>8</v>
      </c>
      <c r="N64" s="43" t="s">
        <v>8</v>
      </c>
      <c r="O64" s="43" t="s">
        <v>8</v>
      </c>
    </row>
    <row r="65" spans="1:15" s="5" customFormat="1" ht="22.5">
      <c r="A65" s="41" t="s">
        <v>317</v>
      </c>
      <c r="B65" s="42" t="s">
        <v>12</v>
      </c>
      <c r="C65" s="43">
        <v>8970</v>
      </c>
      <c r="D65" s="53" t="s">
        <v>201</v>
      </c>
      <c r="E65" s="43" t="s">
        <v>16</v>
      </c>
      <c r="F65" s="45">
        <v>54.46</v>
      </c>
      <c r="G65" s="46">
        <v>60.16</v>
      </c>
      <c r="H65" s="47">
        <v>5.04</v>
      </c>
      <c r="I65" s="46">
        <f t="shared" si="17"/>
        <v>303.20639999999997</v>
      </c>
      <c r="J65" s="43" t="s">
        <v>8</v>
      </c>
      <c r="K65" s="43" t="s">
        <v>8</v>
      </c>
      <c r="L65" s="43" t="s">
        <v>8</v>
      </c>
      <c r="M65" s="43" t="s">
        <v>8</v>
      </c>
      <c r="N65" s="43" t="s">
        <v>8</v>
      </c>
      <c r="O65" s="43" t="s">
        <v>8</v>
      </c>
    </row>
    <row r="66" spans="1:15" s="5" customFormat="1" ht="12.75">
      <c r="A66" s="41" t="s">
        <v>318</v>
      </c>
      <c r="B66" s="42" t="s">
        <v>0</v>
      </c>
      <c r="C66" s="43" t="s">
        <v>63</v>
      </c>
      <c r="D66" s="53" t="s">
        <v>141</v>
      </c>
      <c r="E66" s="43" t="s">
        <v>16</v>
      </c>
      <c r="F66" s="45">
        <v>515.16999999999996</v>
      </c>
      <c r="G66" s="46">
        <v>569.13</v>
      </c>
      <c r="H66" s="56">
        <v>1.68</v>
      </c>
      <c r="I66" s="46">
        <f t="shared" si="17"/>
        <v>956.13839999999993</v>
      </c>
      <c r="J66" s="43" t="s">
        <v>8</v>
      </c>
      <c r="K66" s="43" t="s">
        <v>8</v>
      </c>
      <c r="L66" s="43" t="s">
        <v>8</v>
      </c>
      <c r="M66" s="43" t="s">
        <v>8</v>
      </c>
      <c r="N66" s="43" t="s">
        <v>8</v>
      </c>
      <c r="O66" s="43" t="s">
        <v>8</v>
      </c>
    </row>
    <row r="67" spans="1:15" s="5" customFormat="1" ht="22.5">
      <c r="A67" s="41" t="s">
        <v>319</v>
      </c>
      <c r="B67" s="42" t="s">
        <v>0</v>
      </c>
      <c r="C67" s="43" t="s">
        <v>64</v>
      </c>
      <c r="D67" s="53" t="s">
        <v>65</v>
      </c>
      <c r="E67" s="43" t="s">
        <v>16</v>
      </c>
      <c r="F67" s="45">
        <v>488.35</v>
      </c>
      <c r="G67" s="46">
        <v>539.5</v>
      </c>
      <c r="H67" s="47">
        <v>11.61</v>
      </c>
      <c r="I67" s="46">
        <f t="shared" si="17"/>
        <v>6263.5949999999993</v>
      </c>
      <c r="J67" s="43" t="s">
        <v>8</v>
      </c>
      <c r="K67" s="43" t="s">
        <v>8</v>
      </c>
      <c r="L67" s="43" t="s">
        <v>8</v>
      </c>
      <c r="M67" s="43" t="s">
        <v>8</v>
      </c>
      <c r="N67" s="43" t="s">
        <v>8</v>
      </c>
      <c r="O67" s="43" t="s">
        <v>8</v>
      </c>
    </row>
    <row r="68" spans="1:15" s="5" customFormat="1" ht="22.5">
      <c r="A68" s="41" t="s">
        <v>320</v>
      </c>
      <c r="B68" s="42" t="s">
        <v>12</v>
      </c>
      <c r="C68" s="43">
        <v>11556</v>
      </c>
      <c r="D68" s="44" t="s">
        <v>202</v>
      </c>
      <c r="E68" s="43" t="s">
        <v>16</v>
      </c>
      <c r="F68" s="45">
        <v>355</v>
      </c>
      <c r="G68" s="46">
        <v>392.18</v>
      </c>
      <c r="H68" s="47">
        <v>9.0299999999999994</v>
      </c>
      <c r="I68" s="46">
        <f t="shared" si="17"/>
        <v>3541.3853999999997</v>
      </c>
      <c r="J68" s="43" t="s">
        <v>8</v>
      </c>
      <c r="K68" s="43" t="s">
        <v>8</v>
      </c>
      <c r="L68" s="43" t="s">
        <v>8</v>
      </c>
      <c r="M68" s="43" t="s">
        <v>8</v>
      </c>
      <c r="N68" s="43" t="s">
        <v>8</v>
      </c>
      <c r="O68" s="43" t="s">
        <v>8</v>
      </c>
    </row>
    <row r="69" spans="1:15" s="5" customFormat="1" ht="12.75">
      <c r="A69" s="35" t="s">
        <v>60</v>
      </c>
      <c r="B69" s="36"/>
      <c r="C69" s="37"/>
      <c r="D69" s="38" t="s">
        <v>243</v>
      </c>
      <c r="E69" s="32"/>
      <c r="F69" s="9"/>
      <c r="G69" s="46"/>
      <c r="H69" s="8"/>
      <c r="I69" s="87">
        <f>I70</f>
        <v>477.42719999999997</v>
      </c>
      <c r="J69" s="8"/>
      <c r="K69" s="88"/>
      <c r="L69" s="89"/>
      <c r="M69" s="8"/>
      <c r="N69" s="88"/>
      <c r="O69" s="37"/>
    </row>
    <row r="70" spans="1:15" s="5" customFormat="1" ht="22.5">
      <c r="A70" s="41" t="s">
        <v>92</v>
      </c>
      <c r="B70" s="42" t="s">
        <v>12</v>
      </c>
      <c r="C70" s="43">
        <v>1766</v>
      </c>
      <c r="D70" s="44" t="s">
        <v>204</v>
      </c>
      <c r="E70" s="43" t="s">
        <v>16</v>
      </c>
      <c r="F70" s="45">
        <v>450.17</v>
      </c>
      <c r="G70" s="46">
        <v>497.32</v>
      </c>
      <c r="H70" s="47">
        <v>0.96</v>
      </c>
      <c r="I70" s="46">
        <f>G70*H70</f>
        <v>477.42719999999997</v>
      </c>
      <c r="J70" s="43" t="s">
        <v>8</v>
      </c>
      <c r="K70" s="43" t="s">
        <v>8</v>
      </c>
      <c r="L70" s="43" t="s">
        <v>8</v>
      </c>
      <c r="M70" s="43" t="s">
        <v>8</v>
      </c>
      <c r="N70" s="43" t="s">
        <v>8</v>
      </c>
      <c r="O70" s="43" t="s">
        <v>8</v>
      </c>
    </row>
    <row r="71" spans="1:15" s="5" customFormat="1" ht="12.75">
      <c r="A71" s="35" t="s">
        <v>61</v>
      </c>
      <c r="B71" s="36"/>
      <c r="C71" s="37"/>
      <c r="D71" s="38" t="s">
        <v>244</v>
      </c>
      <c r="E71" s="32"/>
      <c r="F71" s="9"/>
      <c r="G71" s="46"/>
      <c r="H71" s="8"/>
      <c r="I71" s="87">
        <f>I72</f>
        <v>499.71</v>
      </c>
      <c r="J71" s="8"/>
      <c r="K71" s="88"/>
      <c r="L71" s="89"/>
      <c r="M71" s="8"/>
      <c r="N71" s="88"/>
      <c r="O71" s="37"/>
    </row>
    <row r="72" spans="1:15" s="5" customFormat="1" ht="12.75">
      <c r="A72" s="41" t="s">
        <v>94</v>
      </c>
      <c r="B72" s="42" t="s">
        <v>12</v>
      </c>
      <c r="C72" s="43">
        <v>3731</v>
      </c>
      <c r="D72" s="44" t="s">
        <v>203</v>
      </c>
      <c r="E72" s="43" t="s">
        <v>16</v>
      </c>
      <c r="F72" s="45">
        <v>452.33</v>
      </c>
      <c r="G72" s="46">
        <v>499.71</v>
      </c>
      <c r="H72" s="47">
        <v>1</v>
      </c>
      <c r="I72" s="46">
        <f>G72*H72</f>
        <v>499.71</v>
      </c>
      <c r="J72" s="43" t="s">
        <v>8</v>
      </c>
      <c r="K72" s="43" t="s">
        <v>8</v>
      </c>
      <c r="L72" s="43" t="s">
        <v>8</v>
      </c>
      <c r="M72" s="43" t="s">
        <v>8</v>
      </c>
      <c r="N72" s="43" t="s">
        <v>8</v>
      </c>
      <c r="O72" s="43" t="s">
        <v>8</v>
      </c>
    </row>
    <row r="73" spans="1:15" s="12" customFormat="1" ht="12.75">
      <c r="A73" s="57">
        <v>8</v>
      </c>
      <c r="B73" s="34"/>
      <c r="C73" s="34"/>
      <c r="D73" s="57" t="s">
        <v>142</v>
      </c>
      <c r="E73" s="79"/>
      <c r="F73" s="80"/>
      <c r="G73" s="81"/>
      <c r="H73" s="80"/>
      <c r="I73" s="82">
        <f>SUM(I74,I89,I94,I113,I118)</f>
        <v>78903.090000000011</v>
      </c>
      <c r="J73" s="80"/>
      <c r="K73" s="83">
        <f>SUM(K74,K89,K94,K113,K118)</f>
        <v>5547.73</v>
      </c>
      <c r="L73" s="84">
        <f>K73/I73</f>
        <v>7.0310681115276968E-2</v>
      </c>
      <c r="M73" s="85"/>
      <c r="N73" s="83">
        <f>SUM(N74,N89,N94,N113,N118)</f>
        <v>5547.73</v>
      </c>
      <c r="O73" s="86">
        <f t="shared" ref="O73" si="18">N73/I73</f>
        <v>7.0310681115276968E-2</v>
      </c>
    </row>
    <row r="74" spans="1:15" s="5" customFormat="1" ht="12.75">
      <c r="A74" s="35" t="s">
        <v>96</v>
      </c>
      <c r="B74" s="36"/>
      <c r="C74" s="37"/>
      <c r="D74" s="38" t="s">
        <v>143</v>
      </c>
      <c r="E74" s="32"/>
      <c r="F74" s="9"/>
      <c r="G74" s="11"/>
      <c r="H74" s="8"/>
      <c r="I74" s="87">
        <f>SUM(I75:I88)</f>
        <v>8343.64</v>
      </c>
      <c r="J74" s="8"/>
      <c r="K74" s="88">
        <f>SUM(K75:K87)</f>
        <v>5547.73</v>
      </c>
      <c r="L74" s="89">
        <f>K74/I74</f>
        <v>0.66490524519274563</v>
      </c>
      <c r="M74" s="8"/>
      <c r="N74" s="88">
        <f>SUM(N75:N88)</f>
        <v>5547.73</v>
      </c>
      <c r="O74" s="90">
        <f t="shared" ref="O74" si="19">N74/I74</f>
        <v>0.66490524519274563</v>
      </c>
    </row>
    <row r="75" spans="1:15" s="5" customFormat="1" ht="22.5">
      <c r="A75" s="41" t="s">
        <v>122</v>
      </c>
      <c r="B75" s="42" t="s">
        <v>0</v>
      </c>
      <c r="C75" s="43">
        <v>95635</v>
      </c>
      <c r="D75" s="53" t="s">
        <v>121</v>
      </c>
      <c r="E75" s="2" t="s">
        <v>11</v>
      </c>
      <c r="F75" s="45">
        <v>123.87</v>
      </c>
      <c r="G75" s="46">
        <v>136.83000000000001</v>
      </c>
      <c r="H75" s="47">
        <v>1</v>
      </c>
      <c r="I75" s="46">
        <f>G75*H75</f>
        <v>136.83000000000001</v>
      </c>
      <c r="J75" s="43" t="s">
        <v>8</v>
      </c>
      <c r="K75" s="43" t="s">
        <v>8</v>
      </c>
      <c r="L75" s="43" t="s">
        <v>8</v>
      </c>
      <c r="M75" s="43" t="s">
        <v>8</v>
      </c>
      <c r="N75" s="43" t="s">
        <v>8</v>
      </c>
      <c r="O75" s="43" t="s">
        <v>8</v>
      </c>
    </row>
    <row r="76" spans="1:15" s="5" customFormat="1" ht="12.75">
      <c r="A76" s="41" t="s">
        <v>124</v>
      </c>
      <c r="B76" s="42" t="s">
        <v>0</v>
      </c>
      <c r="C76" s="43">
        <v>95675</v>
      </c>
      <c r="D76" s="53" t="s">
        <v>123</v>
      </c>
      <c r="E76" s="2" t="s">
        <v>11</v>
      </c>
      <c r="F76" s="45">
        <v>180.69</v>
      </c>
      <c r="G76" s="46">
        <v>199.62</v>
      </c>
      <c r="H76" s="47">
        <v>1</v>
      </c>
      <c r="I76" s="46">
        <f t="shared" ref="I76:I88" si="20">G76*H76</f>
        <v>199.62</v>
      </c>
      <c r="J76" s="43" t="s">
        <v>8</v>
      </c>
      <c r="K76" s="43" t="s">
        <v>8</v>
      </c>
      <c r="L76" s="43" t="s">
        <v>8</v>
      </c>
      <c r="M76" s="43" t="s">
        <v>8</v>
      </c>
      <c r="N76" s="43" t="s">
        <v>8</v>
      </c>
      <c r="O76" s="43" t="s">
        <v>8</v>
      </c>
    </row>
    <row r="77" spans="1:15" s="5" customFormat="1" ht="12.75">
      <c r="A77" s="41" t="s">
        <v>126</v>
      </c>
      <c r="B77" s="42" t="s">
        <v>0</v>
      </c>
      <c r="C77" s="43">
        <v>95676</v>
      </c>
      <c r="D77" s="53" t="s">
        <v>125</v>
      </c>
      <c r="E77" s="2" t="s">
        <v>11</v>
      </c>
      <c r="F77" s="45">
        <v>69.05</v>
      </c>
      <c r="G77" s="46">
        <v>76.27</v>
      </c>
      <c r="H77" s="47">
        <v>1</v>
      </c>
      <c r="I77" s="46">
        <f t="shared" si="20"/>
        <v>76.27</v>
      </c>
      <c r="J77" s="43" t="s">
        <v>8</v>
      </c>
      <c r="K77" s="43" t="s">
        <v>8</v>
      </c>
      <c r="L77" s="43" t="s">
        <v>8</v>
      </c>
      <c r="M77" s="43" t="s">
        <v>8</v>
      </c>
      <c r="N77" s="43" t="s">
        <v>8</v>
      </c>
      <c r="O77" s="43" t="s">
        <v>8</v>
      </c>
    </row>
    <row r="78" spans="1:15" s="5" customFormat="1" ht="33.75">
      <c r="A78" s="41" t="s">
        <v>144</v>
      </c>
      <c r="B78" s="42" t="s">
        <v>9</v>
      </c>
      <c r="C78" s="43">
        <v>96</v>
      </c>
      <c r="D78" s="53" t="s">
        <v>145</v>
      </c>
      <c r="E78" s="2" t="s">
        <v>11</v>
      </c>
      <c r="F78" s="45">
        <v>7.5</v>
      </c>
      <c r="G78" s="46">
        <v>8.2799999999999994</v>
      </c>
      <c r="H78" s="47">
        <v>8</v>
      </c>
      <c r="I78" s="46">
        <f t="shared" si="20"/>
        <v>66.239999999999995</v>
      </c>
      <c r="J78" s="43">
        <f>M78</f>
        <v>8</v>
      </c>
      <c r="K78" s="78">
        <f t="shared" ref="K78" si="21">J78*G78</f>
        <v>66.239999999999995</v>
      </c>
      <c r="L78" s="77">
        <f t="shared" ref="L78" si="22">K78/I78</f>
        <v>1</v>
      </c>
      <c r="M78" s="43">
        <v>8</v>
      </c>
      <c r="N78" s="78">
        <f t="shared" ref="N78" si="23">M78*G78</f>
        <v>66.239999999999995</v>
      </c>
      <c r="O78" s="77">
        <f t="shared" ref="O78" si="24">N78/I78</f>
        <v>1</v>
      </c>
    </row>
    <row r="79" spans="1:15" s="5" customFormat="1" ht="12.75">
      <c r="A79" s="41" t="s">
        <v>146</v>
      </c>
      <c r="B79" s="42" t="s">
        <v>0</v>
      </c>
      <c r="C79" s="43">
        <v>85195</v>
      </c>
      <c r="D79" s="53" t="s">
        <v>147</v>
      </c>
      <c r="E79" s="2" t="s">
        <v>11</v>
      </c>
      <c r="F79" s="45">
        <v>74.64</v>
      </c>
      <c r="G79" s="46">
        <v>82.45</v>
      </c>
      <c r="H79" s="47">
        <v>4</v>
      </c>
      <c r="I79" s="46">
        <f t="shared" si="20"/>
        <v>329.8</v>
      </c>
      <c r="J79" s="43" t="s">
        <v>8</v>
      </c>
      <c r="K79" s="43" t="s">
        <v>8</v>
      </c>
      <c r="L79" s="43" t="s">
        <v>8</v>
      </c>
      <c r="M79" s="43" t="s">
        <v>8</v>
      </c>
      <c r="N79" s="43" t="s">
        <v>8</v>
      </c>
      <c r="O79" s="43" t="s">
        <v>8</v>
      </c>
    </row>
    <row r="80" spans="1:15" s="5" customFormat="1" ht="22.5">
      <c r="A80" s="41" t="s">
        <v>148</v>
      </c>
      <c r="B80" s="42" t="s">
        <v>0</v>
      </c>
      <c r="C80" s="43">
        <v>91784</v>
      </c>
      <c r="D80" s="44" t="s">
        <v>149</v>
      </c>
      <c r="E80" s="43" t="s">
        <v>13</v>
      </c>
      <c r="F80" s="45">
        <v>33.17</v>
      </c>
      <c r="G80" s="46">
        <v>36.64</v>
      </c>
      <c r="H80" s="47">
        <v>35</v>
      </c>
      <c r="I80" s="46">
        <f t="shared" si="20"/>
        <v>1282.4000000000001</v>
      </c>
      <c r="J80" s="43" t="s">
        <v>8</v>
      </c>
      <c r="K80" s="43" t="s">
        <v>8</v>
      </c>
      <c r="L80" s="43" t="s">
        <v>8</v>
      </c>
      <c r="M80" s="43" t="s">
        <v>8</v>
      </c>
      <c r="N80" s="43" t="s">
        <v>8</v>
      </c>
      <c r="O80" s="43" t="s">
        <v>8</v>
      </c>
    </row>
    <row r="81" spans="1:15" s="5" customFormat="1" ht="22.5">
      <c r="A81" s="41" t="s">
        <v>150</v>
      </c>
      <c r="B81" s="42" t="s">
        <v>0</v>
      </c>
      <c r="C81" s="43">
        <v>91785</v>
      </c>
      <c r="D81" s="44" t="s">
        <v>151</v>
      </c>
      <c r="E81" s="43" t="s">
        <v>13</v>
      </c>
      <c r="F81" s="45">
        <v>32.659999999999997</v>
      </c>
      <c r="G81" s="46">
        <v>36.07</v>
      </c>
      <c r="H81" s="47">
        <v>70</v>
      </c>
      <c r="I81" s="46">
        <f t="shared" si="20"/>
        <v>2524.9</v>
      </c>
      <c r="J81" s="43">
        <f>M81</f>
        <v>70</v>
      </c>
      <c r="K81" s="78">
        <f t="shared" ref="K81" si="25">J81*G81</f>
        <v>2524.9</v>
      </c>
      <c r="L81" s="77">
        <f t="shared" ref="L81" si="26">K81/I81</f>
        <v>1</v>
      </c>
      <c r="M81" s="43">
        <v>70</v>
      </c>
      <c r="N81" s="78">
        <f t="shared" ref="N81" si="27">M81*G81</f>
        <v>2524.9</v>
      </c>
      <c r="O81" s="77">
        <f t="shared" ref="O81" si="28">N81/I81</f>
        <v>1</v>
      </c>
    </row>
    <row r="82" spans="1:15" s="5" customFormat="1" ht="22.5">
      <c r="A82" s="41" t="s">
        <v>152</v>
      </c>
      <c r="B82" s="42" t="s">
        <v>0</v>
      </c>
      <c r="C82" s="43">
        <v>91787</v>
      </c>
      <c r="D82" s="44" t="s">
        <v>153</v>
      </c>
      <c r="E82" s="43" t="s">
        <v>13</v>
      </c>
      <c r="F82" s="45">
        <v>21.14</v>
      </c>
      <c r="G82" s="46">
        <v>23.34</v>
      </c>
      <c r="H82" s="47">
        <v>12.5</v>
      </c>
      <c r="I82" s="46">
        <f t="shared" si="20"/>
        <v>291.75</v>
      </c>
      <c r="J82" s="43">
        <f t="shared" ref="J82:J83" si="29">M82</f>
        <v>12.5</v>
      </c>
      <c r="K82" s="78">
        <f t="shared" ref="K82:K83" si="30">J82*G82</f>
        <v>291.75</v>
      </c>
      <c r="L82" s="77">
        <f t="shared" ref="L82:L83" si="31">K82/I82</f>
        <v>1</v>
      </c>
      <c r="M82" s="43">
        <v>12.5</v>
      </c>
      <c r="N82" s="78">
        <f t="shared" ref="N82:N83" si="32">M82*G82</f>
        <v>291.75</v>
      </c>
      <c r="O82" s="77">
        <f t="shared" ref="O82:O83" si="33">N82/I82</f>
        <v>1</v>
      </c>
    </row>
    <row r="83" spans="1:15" s="5" customFormat="1" ht="22.5">
      <c r="A83" s="41" t="s">
        <v>154</v>
      </c>
      <c r="B83" s="42" t="s">
        <v>0</v>
      </c>
      <c r="C83" s="43">
        <v>94494</v>
      </c>
      <c r="D83" s="53" t="s">
        <v>155</v>
      </c>
      <c r="E83" s="2" t="s">
        <v>11</v>
      </c>
      <c r="F83" s="45">
        <v>67.8</v>
      </c>
      <c r="G83" s="46">
        <v>74.900000000000006</v>
      </c>
      <c r="H83" s="47">
        <v>8</v>
      </c>
      <c r="I83" s="46">
        <f t="shared" si="20"/>
        <v>599.20000000000005</v>
      </c>
      <c r="J83" s="43">
        <f t="shared" si="29"/>
        <v>8</v>
      </c>
      <c r="K83" s="78">
        <f t="shared" si="30"/>
        <v>599.20000000000005</v>
      </c>
      <c r="L83" s="77">
        <f t="shared" si="31"/>
        <v>1</v>
      </c>
      <c r="M83" s="43">
        <v>8</v>
      </c>
      <c r="N83" s="78">
        <f t="shared" si="32"/>
        <v>599.20000000000005</v>
      </c>
      <c r="O83" s="77">
        <f t="shared" si="33"/>
        <v>1</v>
      </c>
    </row>
    <row r="84" spans="1:15" s="5" customFormat="1" ht="22.5">
      <c r="A84" s="41" t="s">
        <v>156</v>
      </c>
      <c r="B84" s="42" t="s">
        <v>0</v>
      </c>
      <c r="C84" s="43">
        <v>89986</v>
      </c>
      <c r="D84" s="53" t="s">
        <v>157</v>
      </c>
      <c r="E84" s="2" t="s">
        <v>11</v>
      </c>
      <c r="F84" s="45">
        <v>94.32</v>
      </c>
      <c r="G84" s="46">
        <v>104.2</v>
      </c>
      <c r="H84" s="47">
        <v>5</v>
      </c>
      <c r="I84" s="46">
        <f t="shared" si="20"/>
        <v>521</v>
      </c>
      <c r="J84" s="43" t="s">
        <v>8</v>
      </c>
      <c r="K84" s="43" t="s">
        <v>8</v>
      </c>
      <c r="L84" s="43" t="s">
        <v>8</v>
      </c>
      <c r="M84" s="43" t="s">
        <v>8</v>
      </c>
      <c r="N84" s="43" t="s">
        <v>8</v>
      </c>
      <c r="O84" s="43" t="s">
        <v>8</v>
      </c>
    </row>
    <row r="85" spans="1:15" s="5" customFormat="1" ht="22.5">
      <c r="A85" s="41" t="s">
        <v>158</v>
      </c>
      <c r="B85" s="42" t="s">
        <v>0</v>
      </c>
      <c r="C85" s="43">
        <v>89987</v>
      </c>
      <c r="D85" s="53" t="s">
        <v>159</v>
      </c>
      <c r="E85" s="2" t="s">
        <v>11</v>
      </c>
      <c r="F85" s="45">
        <v>105.11</v>
      </c>
      <c r="G85" s="46">
        <v>116.11</v>
      </c>
      <c r="H85" s="47">
        <v>15</v>
      </c>
      <c r="I85" s="46">
        <f t="shared" si="20"/>
        <v>1741.65</v>
      </c>
      <c r="J85" s="43">
        <f t="shared" ref="J85" si="34">M85</f>
        <v>15</v>
      </c>
      <c r="K85" s="78">
        <f t="shared" ref="K85" si="35">J85*G85</f>
        <v>1741.65</v>
      </c>
      <c r="L85" s="77">
        <f t="shared" ref="L85" si="36">K85/I85</f>
        <v>1</v>
      </c>
      <c r="M85" s="43">
        <v>15</v>
      </c>
      <c r="N85" s="78">
        <f t="shared" ref="N85" si="37">M85*G85</f>
        <v>1741.65</v>
      </c>
      <c r="O85" s="77">
        <f t="shared" ref="O85" si="38">N85/I85</f>
        <v>1</v>
      </c>
    </row>
    <row r="86" spans="1:15" s="5" customFormat="1" ht="22.5">
      <c r="A86" s="41" t="s">
        <v>160</v>
      </c>
      <c r="B86" s="42" t="s">
        <v>0</v>
      </c>
      <c r="C86" s="43">
        <v>89984</v>
      </c>
      <c r="D86" s="53" t="s">
        <v>161</v>
      </c>
      <c r="E86" s="2" t="s">
        <v>11</v>
      </c>
      <c r="F86" s="45">
        <v>96.79</v>
      </c>
      <c r="G86" s="46">
        <v>106.92</v>
      </c>
      <c r="H86" s="47">
        <v>2</v>
      </c>
      <c r="I86" s="46">
        <f t="shared" si="20"/>
        <v>213.84</v>
      </c>
      <c r="J86" s="43">
        <f t="shared" ref="J86:J87" si="39">M86</f>
        <v>2</v>
      </c>
      <c r="K86" s="78">
        <f t="shared" ref="K86:K87" si="40">J86*G86</f>
        <v>213.84</v>
      </c>
      <c r="L86" s="77">
        <f t="shared" ref="L86:L87" si="41">K86/I86</f>
        <v>1</v>
      </c>
      <c r="M86" s="43">
        <v>2</v>
      </c>
      <c r="N86" s="78">
        <f t="shared" ref="N86:N87" si="42">M86*G86</f>
        <v>213.84</v>
      </c>
      <c r="O86" s="77">
        <f t="shared" ref="O86:O87" si="43">N86/I86</f>
        <v>1</v>
      </c>
    </row>
    <row r="87" spans="1:15" s="5" customFormat="1" ht="22.5">
      <c r="A87" s="41" t="s">
        <v>162</v>
      </c>
      <c r="B87" s="42" t="s">
        <v>0</v>
      </c>
      <c r="C87" s="43">
        <v>89985</v>
      </c>
      <c r="D87" s="53" t="s">
        <v>163</v>
      </c>
      <c r="E87" s="2" t="s">
        <v>11</v>
      </c>
      <c r="F87" s="45">
        <v>99.71</v>
      </c>
      <c r="G87" s="46">
        <v>110.15</v>
      </c>
      <c r="H87" s="47">
        <v>1</v>
      </c>
      <c r="I87" s="46">
        <f t="shared" si="20"/>
        <v>110.15</v>
      </c>
      <c r="J87" s="43">
        <f t="shared" si="39"/>
        <v>1</v>
      </c>
      <c r="K87" s="78">
        <f t="shared" si="40"/>
        <v>110.15</v>
      </c>
      <c r="L87" s="77">
        <f t="shared" si="41"/>
        <v>1</v>
      </c>
      <c r="M87" s="43">
        <v>1</v>
      </c>
      <c r="N87" s="78">
        <f t="shared" si="42"/>
        <v>110.15</v>
      </c>
      <c r="O87" s="77">
        <f t="shared" si="43"/>
        <v>1</v>
      </c>
    </row>
    <row r="88" spans="1:15" s="5" customFormat="1" ht="22.5">
      <c r="A88" s="41" t="s">
        <v>164</v>
      </c>
      <c r="B88" s="42" t="s">
        <v>0</v>
      </c>
      <c r="C88" s="43">
        <v>99635</v>
      </c>
      <c r="D88" s="53" t="s">
        <v>165</v>
      </c>
      <c r="E88" s="2" t="s">
        <v>11</v>
      </c>
      <c r="F88" s="45">
        <v>226.29</v>
      </c>
      <c r="G88" s="46">
        <v>249.99</v>
      </c>
      <c r="H88" s="47">
        <v>1</v>
      </c>
      <c r="I88" s="46">
        <f t="shared" si="20"/>
        <v>249.99</v>
      </c>
      <c r="J88" s="43" t="s">
        <v>8</v>
      </c>
      <c r="K88" s="43" t="s">
        <v>8</v>
      </c>
      <c r="L88" s="43" t="s">
        <v>8</v>
      </c>
      <c r="M88" s="43" t="s">
        <v>8</v>
      </c>
      <c r="N88" s="43" t="s">
        <v>8</v>
      </c>
      <c r="O88" s="43" t="s">
        <v>8</v>
      </c>
    </row>
    <row r="89" spans="1:15" s="5" customFormat="1" ht="12.75">
      <c r="A89" s="35" t="s">
        <v>102</v>
      </c>
      <c r="B89" s="36"/>
      <c r="C89" s="37"/>
      <c r="D89" s="38" t="s">
        <v>166</v>
      </c>
      <c r="E89" s="32"/>
      <c r="F89" s="9"/>
      <c r="G89" s="46"/>
      <c r="H89" s="8"/>
      <c r="I89" s="87">
        <f>SUM(I90:I93)</f>
        <v>20994.699999999997</v>
      </c>
      <c r="J89" s="8"/>
      <c r="K89" s="88"/>
      <c r="L89" s="89"/>
      <c r="M89" s="8"/>
      <c r="N89" s="88"/>
      <c r="O89" s="90"/>
    </row>
    <row r="90" spans="1:15" s="5" customFormat="1" ht="22.5">
      <c r="A90" s="41" t="s">
        <v>108</v>
      </c>
      <c r="B90" s="42" t="s">
        <v>0</v>
      </c>
      <c r="C90" s="43">
        <v>94228</v>
      </c>
      <c r="D90" s="53" t="s">
        <v>167</v>
      </c>
      <c r="E90" s="43" t="s">
        <v>13</v>
      </c>
      <c r="F90" s="45">
        <v>57.82</v>
      </c>
      <c r="G90" s="46">
        <v>63.87</v>
      </c>
      <c r="H90" s="47">
        <v>20</v>
      </c>
      <c r="I90" s="46">
        <f>G90*H90</f>
        <v>1277.3999999999999</v>
      </c>
      <c r="J90" s="43" t="s">
        <v>8</v>
      </c>
      <c r="K90" s="43" t="s">
        <v>8</v>
      </c>
      <c r="L90" s="43" t="s">
        <v>8</v>
      </c>
      <c r="M90" s="43" t="s">
        <v>8</v>
      </c>
      <c r="N90" s="43" t="s">
        <v>8</v>
      </c>
      <c r="O90" s="43" t="s">
        <v>8</v>
      </c>
    </row>
    <row r="91" spans="1:15" s="5" customFormat="1" ht="22.5">
      <c r="A91" s="41" t="s">
        <v>168</v>
      </c>
      <c r="B91" s="42" t="s">
        <v>0</v>
      </c>
      <c r="C91" s="43">
        <v>94229</v>
      </c>
      <c r="D91" s="53" t="s">
        <v>169</v>
      </c>
      <c r="E91" s="43" t="s">
        <v>13</v>
      </c>
      <c r="F91" s="45">
        <v>112.32</v>
      </c>
      <c r="G91" s="46">
        <v>124.08</v>
      </c>
      <c r="H91" s="47">
        <v>90</v>
      </c>
      <c r="I91" s="46">
        <f>G91*H91</f>
        <v>11167.2</v>
      </c>
      <c r="J91" s="43" t="s">
        <v>8</v>
      </c>
      <c r="K91" s="43" t="s">
        <v>8</v>
      </c>
      <c r="L91" s="43" t="s">
        <v>8</v>
      </c>
      <c r="M91" s="43" t="s">
        <v>8</v>
      </c>
      <c r="N91" s="43" t="s">
        <v>8</v>
      </c>
      <c r="O91" s="43" t="s">
        <v>8</v>
      </c>
    </row>
    <row r="92" spans="1:15" s="5" customFormat="1" ht="22.5">
      <c r="A92" s="41" t="s">
        <v>170</v>
      </c>
      <c r="B92" s="42" t="s">
        <v>0</v>
      </c>
      <c r="C92" s="43">
        <v>91790</v>
      </c>
      <c r="D92" s="53" t="s">
        <v>171</v>
      </c>
      <c r="E92" s="43" t="s">
        <v>13</v>
      </c>
      <c r="F92" s="45">
        <v>45.87</v>
      </c>
      <c r="G92" s="46">
        <v>50.67</v>
      </c>
      <c r="H92" s="47">
        <v>150</v>
      </c>
      <c r="I92" s="46">
        <f>G92*H92</f>
        <v>7600.5</v>
      </c>
      <c r="J92" s="43" t="s">
        <v>8</v>
      </c>
      <c r="K92" s="43" t="s">
        <v>8</v>
      </c>
      <c r="L92" s="43" t="s">
        <v>8</v>
      </c>
      <c r="M92" s="43" t="s">
        <v>8</v>
      </c>
      <c r="N92" s="43" t="s">
        <v>8</v>
      </c>
      <c r="O92" s="43" t="s">
        <v>8</v>
      </c>
    </row>
    <row r="93" spans="1:15" s="5" customFormat="1" ht="12.75">
      <c r="A93" s="41" t="s">
        <v>172</v>
      </c>
      <c r="B93" s="42" t="s">
        <v>0</v>
      </c>
      <c r="C93" s="43">
        <v>72285</v>
      </c>
      <c r="D93" s="53" t="s">
        <v>173</v>
      </c>
      <c r="E93" s="2" t="s">
        <v>11</v>
      </c>
      <c r="F93" s="45">
        <v>85.96</v>
      </c>
      <c r="G93" s="46">
        <v>94.96</v>
      </c>
      <c r="H93" s="47">
        <v>10</v>
      </c>
      <c r="I93" s="46">
        <f>G93*H93</f>
        <v>949.59999999999991</v>
      </c>
      <c r="J93" s="43" t="s">
        <v>8</v>
      </c>
      <c r="K93" s="43" t="s">
        <v>8</v>
      </c>
      <c r="L93" s="43" t="s">
        <v>8</v>
      </c>
      <c r="M93" s="43" t="s">
        <v>8</v>
      </c>
      <c r="N93" s="43" t="s">
        <v>8</v>
      </c>
      <c r="O93" s="43" t="s">
        <v>8</v>
      </c>
    </row>
    <row r="94" spans="1:15" s="5" customFormat="1" ht="12.75">
      <c r="A94" s="35" t="s">
        <v>103</v>
      </c>
      <c r="B94" s="36"/>
      <c r="C94" s="37"/>
      <c r="D94" s="38" t="s">
        <v>106</v>
      </c>
      <c r="E94" s="32"/>
      <c r="F94" s="9"/>
      <c r="G94" s="46"/>
      <c r="H94" s="8"/>
      <c r="I94" s="87">
        <f>SUM(I95:I112)</f>
        <v>40731.860000000008</v>
      </c>
      <c r="J94" s="8"/>
      <c r="K94" s="88"/>
      <c r="L94" s="89"/>
      <c r="M94" s="8"/>
      <c r="N94" s="88"/>
      <c r="O94" s="90"/>
    </row>
    <row r="95" spans="1:15" s="5" customFormat="1" ht="22.5">
      <c r="A95" s="41" t="s">
        <v>258</v>
      </c>
      <c r="B95" s="42" t="s">
        <v>0</v>
      </c>
      <c r="C95" s="43">
        <v>83397</v>
      </c>
      <c r="D95" s="53" t="s">
        <v>290</v>
      </c>
      <c r="E95" s="2" t="s">
        <v>11</v>
      </c>
      <c r="F95" s="45">
        <v>1200.6400000000001</v>
      </c>
      <c r="G95" s="46">
        <v>1326.4</v>
      </c>
      <c r="H95" s="47">
        <v>1</v>
      </c>
      <c r="I95" s="46">
        <f>G95*H95</f>
        <v>1326.4</v>
      </c>
      <c r="J95" s="43" t="s">
        <v>8</v>
      </c>
      <c r="K95" s="43" t="s">
        <v>8</v>
      </c>
      <c r="L95" s="43" t="s">
        <v>8</v>
      </c>
      <c r="M95" s="43" t="s">
        <v>8</v>
      </c>
      <c r="N95" s="43" t="s">
        <v>8</v>
      </c>
      <c r="O95" s="43" t="s">
        <v>8</v>
      </c>
    </row>
    <row r="96" spans="1:15" s="5" customFormat="1" ht="22.5">
      <c r="A96" s="41" t="s">
        <v>259</v>
      </c>
      <c r="B96" s="42" t="s">
        <v>9</v>
      </c>
      <c r="C96" s="43">
        <v>1062</v>
      </c>
      <c r="D96" s="53" t="s">
        <v>293</v>
      </c>
      <c r="E96" s="2" t="s">
        <v>11</v>
      </c>
      <c r="F96" s="45">
        <v>148.30000000000001</v>
      </c>
      <c r="G96" s="46">
        <v>163.83000000000001</v>
      </c>
      <c r="H96" s="47">
        <v>1</v>
      </c>
      <c r="I96" s="46">
        <f t="shared" ref="I96:I112" si="44">G96*H96</f>
        <v>163.83000000000001</v>
      </c>
      <c r="J96" s="43" t="s">
        <v>8</v>
      </c>
      <c r="K96" s="43" t="s">
        <v>8</v>
      </c>
      <c r="L96" s="43" t="s">
        <v>8</v>
      </c>
      <c r="M96" s="43" t="s">
        <v>8</v>
      </c>
      <c r="N96" s="43" t="s">
        <v>8</v>
      </c>
      <c r="O96" s="43" t="s">
        <v>8</v>
      </c>
    </row>
    <row r="97" spans="1:15" s="5" customFormat="1" ht="12.75">
      <c r="A97" s="41" t="s">
        <v>272</v>
      </c>
      <c r="B97" s="42" t="s">
        <v>0</v>
      </c>
      <c r="C97" s="43">
        <v>92986</v>
      </c>
      <c r="D97" s="53" t="s">
        <v>291</v>
      </c>
      <c r="E97" s="43" t="s">
        <v>13</v>
      </c>
      <c r="F97" s="45">
        <v>31.91</v>
      </c>
      <c r="G97" s="46">
        <v>35.24</v>
      </c>
      <c r="H97" s="47">
        <v>80</v>
      </c>
      <c r="I97" s="46">
        <f t="shared" si="44"/>
        <v>2819.2000000000003</v>
      </c>
      <c r="J97" s="43" t="s">
        <v>8</v>
      </c>
      <c r="K97" s="43" t="s">
        <v>8</v>
      </c>
      <c r="L97" s="43" t="s">
        <v>8</v>
      </c>
      <c r="M97" s="43" t="s">
        <v>8</v>
      </c>
      <c r="N97" s="43" t="s">
        <v>8</v>
      </c>
      <c r="O97" s="43" t="s">
        <v>8</v>
      </c>
    </row>
    <row r="98" spans="1:15" s="5" customFormat="1" ht="12.75">
      <c r="A98" s="41" t="s">
        <v>273</v>
      </c>
      <c r="B98" s="42" t="s">
        <v>0</v>
      </c>
      <c r="C98" s="43">
        <v>92984</v>
      </c>
      <c r="D98" s="53" t="s">
        <v>292</v>
      </c>
      <c r="E98" s="43" t="s">
        <v>13</v>
      </c>
      <c r="F98" s="45">
        <v>16.350000000000001</v>
      </c>
      <c r="G98" s="46">
        <v>18.059999999999999</v>
      </c>
      <c r="H98" s="47">
        <v>20</v>
      </c>
      <c r="I98" s="46">
        <f t="shared" si="44"/>
        <v>361.2</v>
      </c>
      <c r="J98" s="43" t="s">
        <v>8</v>
      </c>
      <c r="K98" s="43" t="s">
        <v>8</v>
      </c>
      <c r="L98" s="43" t="s">
        <v>8</v>
      </c>
      <c r="M98" s="43" t="s">
        <v>8</v>
      </c>
      <c r="N98" s="43" t="s">
        <v>8</v>
      </c>
      <c r="O98" s="43" t="s">
        <v>8</v>
      </c>
    </row>
    <row r="99" spans="1:15" s="5" customFormat="1" ht="12.75">
      <c r="A99" s="41" t="s">
        <v>274</v>
      </c>
      <c r="B99" s="42" t="s">
        <v>0</v>
      </c>
      <c r="C99" s="43">
        <v>92982</v>
      </c>
      <c r="D99" s="53" t="s">
        <v>296</v>
      </c>
      <c r="E99" s="43" t="s">
        <v>13</v>
      </c>
      <c r="F99" s="45">
        <v>9.66</v>
      </c>
      <c r="G99" s="46">
        <v>10.67</v>
      </c>
      <c r="H99" s="47">
        <v>30</v>
      </c>
      <c r="I99" s="46">
        <f t="shared" si="44"/>
        <v>320.10000000000002</v>
      </c>
      <c r="J99" s="43" t="s">
        <v>8</v>
      </c>
      <c r="K99" s="43" t="s">
        <v>8</v>
      </c>
      <c r="L99" s="43" t="s">
        <v>8</v>
      </c>
      <c r="M99" s="43" t="s">
        <v>8</v>
      </c>
      <c r="N99" s="43" t="s">
        <v>8</v>
      </c>
      <c r="O99" s="43" t="s">
        <v>8</v>
      </c>
    </row>
    <row r="100" spans="1:15" s="5" customFormat="1" ht="12.75">
      <c r="A100" s="41" t="s">
        <v>275</v>
      </c>
      <c r="B100" s="42" t="s">
        <v>0</v>
      </c>
      <c r="C100" s="43">
        <v>92980</v>
      </c>
      <c r="D100" s="53" t="s">
        <v>299</v>
      </c>
      <c r="E100" s="43" t="s">
        <v>13</v>
      </c>
      <c r="F100" s="45">
        <v>6.32</v>
      </c>
      <c r="G100" s="46">
        <v>6.98</v>
      </c>
      <c r="H100" s="47">
        <v>3</v>
      </c>
      <c r="I100" s="46">
        <f t="shared" si="44"/>
        <v>20.94</v>
      </c>
      <c r="J100" s="43" t="s">
        <v>8</v>
      </c>
      <c r="K100" s="43" t="s">
        <v>8</v>
      </c>
      <c r="L100" s="43" t="s">
        <v>8</v>
      </c>
      <c r="M100" s="43" t="s">
        <v>8</v>
      </c>
      <c r="N100" s="43" t="s">
        <v>8</v>
      </c>
      <c r="O100" s="43" t="s">
        <v>8</v>
      </c>
    </row>
    <row r="101" spans="1:15" s="5" customFormat="1" ht="12.75">
      <c r="A101" s="41" t="s">
        <v>276</v>
      </c>
      <c r="B101" s="42" t="s">
        <v>0</v>
      </c>
      <c r="C101" s="43">
        <v>91873</v>
      </c>
      <c r="D101" s="53" t="s">
        <v>297</v>
      </c>
      <c r="E101" s="2" t="s">
        <v>13</v>
      </c>
      <c r="F101" s="45">
        <v>14.98</v>
      </c>
      <c r="G101" s="46">
        <v>16.54</v>
      </c>
      <c r="H101" s="47">
        <v>20</v>
      </c>
      <c r="I101" s="46">
        <f t="shared" si="44"/>
        <v>330.79999999999995</v>
      </c>
      <c r="J101" s="43" t="s">
        <v>8</v>
      </c>
      <c r="K101" s="43" t="s">
        <v>8</v>
      </c>
      <c r="L101" s="43" t="s">
        <v>8</v>
      </c>
      <c r="M101" s="43" t="s">
        <v>8</v>
      </c>
      <c r="N101" s="43" t="s">
        <v>8</v>
      </c>
      <c r="O101" s="43" t="s">
        <v>8</v>
      </c>
    </row>
    <row r="102" spans="1:15" s="5" customFormat="1" ht="12.75">
      <c r="A102" s="41" t="s">
        <v>277</v>
      </c>
      <c r="B102" s="42" t="s">
        <v>0</v>
      </c>
      <c r="C102" s="43">
        <v>91870</v>
      </c>
      <c r="D102" s="53" t="s">
        <v>298</v>
      </c>
      <c r="E102" s="2" t="s">
        <v>13</v>
      </c>
      <c r="F102" s="45">
        <v>8.51</v>
      </c>
      <c r="G102" s="46">
        <v>9.39</v>
      </c>
      <c r="H102" s="47">
        <v>3</v>
      </c>
      <c r="I102" s="46">
        <f t="shared" si="44"/>
        <v>28.17</v>
      </c>
      <c r="J102" s="43" t="s">
        <v>8</v>
      </c>
      <c r="K102" s="43" t="s">
        <v>8</v>
      </c>
      <c r="L102" s="43" t="s">
        <v>8</v>
      </c>
      <c r="M102" s="43" t="s">
        <v>8</v>
      </c>
      <c r="N102" s="43" t="s">
        <v>8</v>
      </c>
      <c r="O102" s="43" t="s">
        <v>8</v>
      </c>
    </row>
    <row r="103" spans="1:15" s="5" customFormat="1" ht="22.5">
      <c r="A103" s="41" t="s">
        <v>278</v>
      </c>
      <c r="B103" s="42" t="s">
        <v>0</v>
      </c>
      <c r="C103" s="43">
        <v>97888</v>
      </c>
      <c r="D103" s="53" t="s">
        <v>289</v>
      </c>
      <c r="E103" s="2" t="s">
        <v>11</v>
      </c>
      <c r="F103" s="45">
        <v>397.47</v>
      </c>
      <c r="G103" s="46">
        <v>439.1</v>
      </c>
      <c r="H103" s="47">
        <v>2</v>
      </c>
      <c r="I103" s="46">
        <f t="shared" si="44"/>
        <v>878.2</v>
      </c>
      <c r="J103" s="43" t="s">
        <v>8</v>
      </c>
      <c r="K103" s="43" t="s">
        <v>8</v>
      </c>
      <c r="L103" s="43" t="s">
        <v>8</v>
      </c>
      <c r="M103" s="43" t="s">
        <v>8</v>
      </c>
      <c r="N103" s="43" t="s">
        <v>8</v>
      </c>
      <c r="O103" s="43" t="s">
        <v>8</v>
      </c>
    </row>
    <row r="104" spans="1:15" s="5" customFormat="1" ht="33.75">
      <c r="A104" s="41" t="s">
        <v>279</v>
      </c>
      <c r="B104" s="42" t="s">
        <v>0</v>
      </c>
      <c r="C104" s="43" t="s">
        <v>285</v>
      </c>
      <c r="D104" s="53" t="s">
        <v>284</v>
      </c>
      <c r="E104" s="2" t="s">
        <v>11</v>
      </c>
      <c r="F104" s="45">
        <v>981.86</v>
      </c>
      <c r="G104" s="46">
        <v>1084.7</v>
      </c>
      <c r="H104" s="47">
        <v>3</v>
      </c>
      <c r="I104" s="46">
        <f t="shared" si="44"/>
        <v>3254.1000000000004</v>
      </c>
      <c r="J104" s="43" t="s">
        <v>8</v>
      </c>
      <c r="K104" s="43" t="s">
        <v>8</v>
      </c>
      <c r="L104" s="43" t="s">
        <v>8</v>
      </c>
      <c r="M104" s="43" t="s">
        <v>8</v>
      </c>
      <c r="N104" s="43" t="s">
        <v>8</v>
      </c>
      <c r="O104" s="43" t="s">
        <v>8</v>
      </c>
    </row>
    <row r="105" spans="1:15" s="5" customFormat="1" ht="12.75">
      <c r="A105" s="41" t="s">
        <v>300</v>
      </c>
      <c r="B105" s="42" t="s">
        <v>0</v>
      </c>
      <c r="C105" s="43">
        <v>93654</v>
      </c>
      <c r="D105" s="53" t="s">
        <v>286</v>
      </c>
      <c r="E105" s="2" t="s">
        <v>11</v>
      </c>
      <c r="F105" s="45">
        <v>9.4</v>
      </c>
      <c r="G105" s="46">
        <v>10.37</v>
      </c>
      <c r="H105" s="47">
        <v>3</v>
      </c>
      <c r="I105" s="46">
        <f t="shared" si="44"/>
        <v>31.11</v>
      </c>
      <c r="J105" s="43" t="s">
        <v>8</v>
      </c>
      <c r="K105" s="43" t="s">
        <v>8</v>
      </c>
      <c r="L105" s="43" t="s">
        <v>8</v>
      </c>
      <c r="M105" s="43" t="s">
        <v>8</v>
      </c>
      <c r="N105" s="43" t="s">
        <v>8</v>
      </c>
      <c r="O105" s="43" t="s">
        <v>8</v>
      </c>
    </row>
    <row r="106" spans="1:15" s="5" customFormat="1" ht="12.75">
      <c r="A106" s="41" t="s">
        <v>301</v>
      </c>
      <c r="B106" s="42" t="s">
        <v>0</v>
      </c>
      <c r="C106" s="43">
        <v>93655</v>
      </c>
      <c r="D106" s="53" t="s">
        <v>287</v>
      </c>
      <c r="E106" s="2" t="s">
        <v>11</v>
      </c>
      <c r="F106" s="45">
        <v>10.33</v>
      </c>
      <c r="G106" s="46">
        <v>11.4</v>
      </c>
      <c r="H106" s="47">
        <v>35</v>
      </c>
      <c r="I106" s="46">
        <f t="shared" si="44"/>
        <v>399</v>
      </c>
      <c r="J106" s="43" t="s">
        <v>8</v>
      </c>
      <c r="K106" s="43" t="s">
        <v>8</v>
      </c>
      <c r="L106" s="43" t="s">
        <v>8</v>
      </c>
      <c r="M106" s="43" t="s">
        <v>8</v>
      </c>
      <c r="N106" s="43" t="s">
        <v>8</v>
      </c>
      <c r="O106" s="43" t="s">
        <v>8</v>
      </c>
    </row>
    <row r="107" spans="1:15" s="5" customFormat="1" ht="12.75">
      <c r="A107" s="41" t="s">
        <v>302</v>
      </c>
      <c r="B107" s="42" t="s">
        <v>0</v>
      </c>
      <c r="C107" s="43">
        <v>93657</v>
      </c>
      <c r="D107" s="53" t="s">
        <v>288</v>
      </c>
      <c r="E107" s="2" t="s">
        <v>11</v>
      </c>
      <c r="F107" s="45">
        <v>11.53</v>
      </c>
      <c r="G107" s="46">
        <v>12.73</v>
      </c>
      <c r="H107" s="47">
        <v>4</v>
      </c>
      <c r="I107" s="46">
        <f t="shared" si="44"/>
        <v>50.92</v>
      </c>
      <c r="J107" s="43" t="s">
        <v>8</v>
      </c>
      <c r="K107" s="43" t="s">
        <v>8</v>
      </c>
      <c r="L107" s="43" t="s">
        <v>8</v>
      </c>
      <c r="M107" s="43" t="s">
        <v>8</v>
      </c>
      <c r="N107" s="43" t="s">
        <v>8</v>
      </c>
      <c r="O107" s="43" t="s">
        <v>8</v>
      </c>
    </row>
    <row r="108" spans="1:15" s="5" customFormat="1" ht="22.5">
      <c r="A108" s="41" t="s">
        <v>303</v>
      </c>
      <c r="B108" s="42" t="s">
        <v>0</v>
      </c>
      <c r="C108" s="43" t="s">
        <v>295</v>
      </c>
      <c r="D108" s="53" t="s">
        <v>294</v>
      </c>
      <c r="E108" s="2" t="s">
        <v>11</v>
      </c>
      <c r="F108" s="45">
        <v>99.46</v>
      </c>
      <c r="G108" s="46">
        <v>109.87</v>
      </c>
      <c r="H108" s="47">
        <v>1</v>
      </c>
      <c r="I108" s="46">
        <f t="shared" si="44"/>
        <v>109.87</v>
      </c>
      <c r="J108" s="43" t="s">
        <v>8</v>
      </c>
      <c r="K108" s="43" t="s">
        <v>8</v>
      </c>
      <c r="L108" s="43" t="s">
        <v>8</v>
      </c>
      <c r="M108" s="43" t="s">
        <v>8</v>
      </c>
      <c r="N108" s="43" t="s">
        <v>8</v>
      </c>
      <c r="O108" s="43" t="s">
        <v>8</v>
      </c>
    </row>
    <row r="109" spans="1:15" s="5" customFormat="1" ht="12.75">
      <c r="A109" s="41" t="s">
        <v>304</v>
      </c>
      <c r="B109" s="42" t="s">
        <v>0</v>
      </c>
      <c r="C109" s="43">
        <v>93128</v>
      </c>
      <c r="D109" s="53" t="s">
        <v>280</v>
      </c>
      <c r="E109" s="2" t="s">
        <v>11</v>
      </c>
      <c r="F109" s="45">
        <v>115.2</v>
      </c>
      <c r="G109" s="46">
        <v>127.26</v>
      </c>
      <c r="H109" s="47">
        <v>84</v>
      </c>
      <c r="I109" s="46">
        <f t="shared" si="44"/>
        <v>10689.84</v>
      </c>
      <c r="J109" s="43" t="s">
        <v>8</v>
      </c>
      <c r="K109" s="43" t="s">
        <v>8</v>
      </c>
      <c r="L109" s="43" t="s">
        <v>8</v>
      </c>
      <c r="M109" s="43" t="s">
        <v>8</v>
      </c>
      <c r="N109" s="43" t="s">
        <v>8</v>
      </c>
      <c r="O109" s="43" t="s">
        <v>8</v>
      </c>
    </row>
    <row r="110" spans="1:15" s="5" customFormat="1" ht="12.75">
      <c r="A110" s="41" t="s">
        <v>305</v>
      </c>
      <c r="B110" s="42" t="s">
        <v>0</v>
      </c>
      <c r="C110" s="43">
        <v>93141</v>
      </c>
      <c r="D110" s="53" t="s">
        <v>282</v>
      </c>
      <c r="E110" s="2" t="s">
        <v>11</v>
      </c>
      <c r="F110" s="45">
        <v>137.76</v>
      </c>
      <c r="G110" s="46">
        <v>152.18</v>
      </c>
      <c r="H110" s="47">
        <v>119</v>
      </c>
      <c r="I110" s="46">
        <f t="shared" si="44"/>
        <v>18109.420000000002</v>
      </c>
      <c r="J110" s="43" t="s">
        <v>8</v>
      </c>
      <c r="K110" s="43" t="s">
        <v>8</v>
      </c>
      <c r="L110" s="43" t="s">
        <v>8</v>
      </c>
      <c r="M110" s="43" t="s">
        <v>8</v>
      </c>
      <c r="N110" s="43" t="s">
        <v>8</v>
      </c>
      <c r="O110" s="43" t="s">
        <v>8</v>
      </c>
    </row>
    <row r="111" spans="1:15" s="5" customFormat="1" ht="12.75">
      <c r="A111" s="41" t="s">
        <v>306</v>
      </c>
      <c r="B111" s="42" t="s">
        <v>0</v>
      </c>
      <c r="C111" s="43">
        <v>93143</v>
      </c>
      <c r="D111" s="53" t="s">
        <v>283</v>
      </c>
      <c r="E111" s="2" t="s">
        <v>11</v>
      </c>
      <c r="F111" s="45">
        <v>139.62</v>
      </c>
      <c r="G111" s="46">
        <v>154.24</v>
      </c>
      <c r="H111" s="47">
        <v>7</v>
      </c>
      <c r="I111" s="46">
        <f t="shared" si="44"/>
        <v>1079.68</v>
      </c>
      <c r="J111" s="43" t="s">
        <v>8</v>
      </c>
      <c r="K111" s="43" t="s">
        <v>8</v>
      </c>
      <c r="L111" s="43" t="s">
        <v>8</v>
      </c>
      <c r="M111" s="43" t="s">
        <v>8</v>
      </c>
      <c r="N111" s="43" t="s">
        <v>8</v>
      </c>
      <c r="O111" s="43" t="s">
        <v>8</v>
      </c>
    </row>
    <row r="112" spans="1:15" s="5" customFormat="1" ht="12.75">
      <c r="A112" s="41" t="s">
        <v>307</v>
      </c>
      <c r="B112" s="42" t="s">
        <v>0</v>
      </c>
      <c r="C112" s="43">
        <v>93144</v>
      </c>
      <c r="D112" s="53" t="s">
        <v>281</v>
      </c>
      <c r="E112" s="2" t="s">
        <v>11</v>
      </c>
      <c r="F112" s="45">
        <v>171.79</v>
      </c>
      <c r="G112" s="46">
        <v>189.77</v>
      </c>
      <c r="H112" s="47">
        <v>4</v>
      </c>
      <c r="I112" s="46">
        <f t="shared" si="44"/>
        <v>759.08</v>
      </c>
      <c r="J112" s="43" t="s">
        <v>8</v>
      </c>
      <c r="K112" s="43" t="s">
        <v>8</v>
      </c>
      <c r="L112" s="43" t="s">
        <v>8</v>
      </c>
      <c r="M112" s="43" t="s">
        <v>8</v>
      </c>
      <c r="N112" s="43" t="s">
        <v>8</v>
      </c>
      <c r="O112" s="43" t="s">
        <v>8</v>
      </c>
    </row>
    <row r="113" spans="1:15" s="5" customFormat="1" ht="12.75">
      <c r="A113" s="35" t="s">
        <v>104</v>
      </c>
      <c r="B113" s="36"/>
      <c r="C113" s="37"/>
      <c r="D113" s="38" t="s">
        <v>211</v>
      </c>
      <c r="E113" s="32"/>
      <c r="F113" s="9"/>
      <c r="G113" s="46"/>
      <c r="H113" s="8"/>
      <c r="I113" s="87">
        <f>SUM(I114:I117)</f>
        <v>5951.3499999999995</v>
      </c>
      <c r="J113" s="8"/>
      <c r="K113" s="88"/>
      <c r="L113" s="89"/>
      <c r="M113" s="8"/>
      <c r="N113" s="88"/>
      <c r="O113" s="90"/>
    </row>
    <row r="114" spans="1:15" s="5" customFormat="1" ht="12.75">
      <c r="A114" s="41" t="s">
        <v>260</v>
      </c>
      <c r="B114" s="42" t="s">
        <v>0</v>
      </c>
      <c r="C114" s="43">
        <v>98307</v>
      </c>
      <c r="D114" s="53" t="s">
        <v>174</v>
      </c>
      <c r="E114" s="2" t="s">
        <v>11</v>
      </c>
      <c r="F114" s="45">
        <v>38.99</v>
      </c>
      <c r="G114" s="46">
        <v>43.06</v>
      </c>
      <c r="H114" s="47">
        <v>21</v>
      </c>
      <c r="I114" s="46">
        <f>G114*H114</f>
        <v>904.26</v>
      </c>
      <c r="J114" s="43" t="s">
        <v>8</v>
      </c>
      <c r="K114" s="43" t="s">
        <v>8</v>
      </c>
      <c r="L114" s="43" t="s">
        <v>8</v>
      </c>
      <c r="M114" s="43" t="s">
        <v>8</v>
      </c>
      <c r="N114" s="43" t="s">
        <v>8</v>
      </c>
      <c r="O114" s="43" t="s">
        <v>8</v>
      </c>
    </row>
    <row r="115" spans="1:15" s="5" customFormat="1" ht="12.75">
      <c r="A115" s="41" t="s">
        <v>261</v>
      </c>
      <c r="B115" s="42" t="s">
        <v>9</v>
      </c>
      <c r="C115" s="43">
        <v>39601</v>
      </c>
      <c r="D115" s="53" t="s">
        <v>175</v>
      </c>
      <c r="E115" s="2" t="s">
        <v>11</v>
      </c>
      <c r="F115" s="45">
        <v>22.23</v>
      </c>
      <c r="G115" s="46">
        <v>24.56</v>
      </c>
      <c r="H115" s="47">
        <v>40</v>
      </c>
      <c r="I115" s="46">
        <f>G115*H115</f>
        <v>982.4</v>
      </c>
      <c r="J115" s="43" t="s">
        <v>8</v>
      </c>
      <c r="K115" s="43" t="s">
        <v>8</v>
      </c>
      <c r="L115" s="43" t="s">
        <v>8</v>
      </c>
      <c r="M115" s="43" t="s">
        <v>8</v>
      </c>
      <c r="N115" s="43" t="s">
        <v>8</v>
      </c>
      <c r="O115" s="43" t="s">
        <v>8</v>
      </c>
    </row>
    <row r="116" spans="1:15" s="5" customFormat="1" ht="12.75">
      <c r="A116" s="41" t="s">
        <v>262</v>
      </c>
      <c r="B116" s="42" t="s">
        <v>0</v>
      </c>
      <c r="C116" s="43">
        <v>98297</v>
      </c>
      <c r="D116" s="53" t="s">
        <v>209</v>
      </c>
      <c r="E116" s="43" t="s">
        <v>13</v>
      </c>
      <c r="F116" s="45">
        <v>2.5499999999999998</v>
      </c>
      <c r="G116" s="46">
        <v>2.81</v>
      </c>
      <c r="H116" s="47">
        <v>915</v>
      </c>
      <c r="I116" s="46">
        <f>G116*H116</f>
        <v>2571.15</v>
      </c>
      <c r="J116" s="43" t="s">
        <v>8</v>
      </c>
      <c r="K116" s="43" t="s">
        <v>8</v>
      </c>
      <c r="L116" s="43" t="s">
        <v>8</v>
      </c>
      <c r="M116" s="43" t="s">
        <v>8</v>
      </c>
      <c r="N116" s="43" t="s">
        <v>8</v>
      </c>
      <c r="O116" s="43" t="s">
        <v>8</v>
      </c>
    </row>
    <row r="117" spans="1:15" s="5" customFormat="1" ht="12.75">
      <c r="A117" s="41" t="s">
        <v>263</v>
      </c>
      <c r="B117" s="42" t="s">
        <v>0</v>
      </c>
      <c r="C117" s="43">
        <v>98302</v>
      </c>
      <c r="D117" s="53" t="s">
        <v>176</v>
      </c>
      <c r="E117" s="2" t="s">
        <v>11</v>
      </c>
      <c r="F117" s="45">
        <v>675.97</v>
      </c>
      <c r="G117" s="46">
        <v>746.77</v>
      </c>
      <c r="H117" s="47">
        <v>2</v>
      </c>
      <c r="I117" s="46">
        <f>G117*H117</f>
        <v>1493.54</v>
      </c>
      <c r="J117" s="43" t="s">
        <v>8</v>
      </c>
      <c r="K117" s="43" t="s">
        <v>8</v>
      </c>
      <c r="L117" s="43" t="s">
        <v>8</v>
      </c>
      <c r="M117" s="43" t="s">
        <v>8</v>
      </c>
      <c r="N117" s="43" t="s">
        <v>8</v>
      </c>
      <c r="O117" s="43" t="s">
        <v>8</v>
      </c>
    </row>
    <row r="118" spans="1:15" s="5" customFormat="1" ht="12.75">
      <c r="A118" s="35" t="s">
        <v>105</v>
      </c>
      <c r="B118" s="36"/>
      <c r="C118" s="37"/>
      <c r="D118" s="38" t="s">
        <v>66</v>
      </c>
      <c r="E118" s="32"/>
      <c r="F118" s="9"/>
      <c r="G118" s="46"/>
      <c r="H118" s="8"/>
      <c r="I118" s="87">
        <f>I119</f>
        <v>2881.54</v>
      </c>
      <c r="J118" s="8"/>
      <c r="K118" s="88"/>
      <c r="L118" s="89"/>
      <c r="M118" s="8"/>
      <c r="N118" s="88"/>
      <c r="O118" s="90"/>
    </row>
    <row r="119" spans="1:15" s="5" customFormat="1" ht="12.75">
      <c r="A119" s="41" t="s">
        <v>210</v>
      </c>
      <c r="B119" s="58" t="s">
        <v>269</v>
      </c>
      <c r="C119" s="43"/>
      <c r="D119" s="53" t="str">
        <f>UPPER("Infraestrutura Ar Split - Dutos / Elétrica")</f>
        <v>INFRAESTRUTURA AR SPLIT - DUTOS / ELÉTRICA</v>
      </c>
      <c r="E119" s="2" t="s">
        <v>11</v>
      </c>
      <c r="F119" s="45">
        <v>137.28</v>
      </c>
      <c r="G119" s="46">
        <v>151.66</v>
      </c>
      <c r="H119" s="47">
        <v>19</v>
      </c>
      <c r="I119" s="46">
        <f>G119*H119</f>
        <v>2881.54</v>
      </c>
      <c r="J119" s="43" t="s">
        <v>8</v>
      </c>
      <c r="K119" s="43" t="s">
        <v>8</v>
      </c>
      <c r="L119" s="43" t="s">
        <v>8</v>
      </c>
      <c r="M119" s="43" t="s">
        <v>8</v>
      </c>
      <c r="N119" s="43" t="s">
        <v>8</v>
      </c>
      <c r="O119" s="43" t="s">
        <v>8</v>
      </c>
    </row>
    <row r="120" spans="1:15" s="5" customFormat="1" ht="12.75">
      <c r="A120" s="33">
        <v>9</v>
      </c>
      <c r="B120" s="33"/>
      <c r="C120" s="33"/>
      <c r="D120" s="54" t="s">
        <v>107</v>
      </c>
      <c r="E120" s="79"/>
      <c r="F120" s="80"/>
      <c r="G120" s="81"/>
      <c r="H120" s="80"/>
      <c r="I120" s="82">
        <f>SUM(I121,I137)</f>
        <v>54864.444399999993</v>
      </c>
      <c r="J120" s="80"/>
      <c r="K120" s="83"/>
      <c r="L120" s="84"/>
      <c r="M120" s="85"/>
      <c r="N120" s="83"/>
      <c r="O120" s="86"/>
    </row>
    <row r="121" spans="1:15" s="5" customFormat="1" ht="12.75">
      <c r="A121" s="35" t="s">
        <v>101</v>
      </c>
      <c r="B121" s="36"/>
      <c r="C121" s="37"/>
      <c r="D121" s="38" t="s">
        <v>97</v>
      </c>
      <c r="E121" s="32"/>
      <c r="F121" s="9"/>
      <c r="G121" s="11"/>
      <c r="H121" s="8"/>
      <c r="I121" s="87">
        <f>SUM(I122:I136)</f>
        <v>39679.904399999992</v>
      </c>
      <c r="J121" s="8"/>
      <c r="K121" s="88"/>
      <c r="L121" s="89"/>
      <c r="M121" s="8"/>
      <c r="N121" s="88"/>
      <c r="O121" s="90"/>
    </row>
    <row r="122" spans="1:15" s="5" customFormat="1" ht="22.5">
      <c r="A122" s="41" t="s">
        <v>128</v>
      </c>
      <c r="B122" s="42" t="s">
        <v>0</v>
      </c>
      <c r="C122" s="43">
        <v>86932</v>
      </c>
      <c r="D122" s="53" t="s">
        <v>247</v>
      </c>
      <c r="E122" s="2" t="s">
        <v>11</v>
      </c>
      <c r="F122" s="45">
        <v>420.59</v>
      </c>
      <c r="G122" s="46">
        <v>464.64</v>
      </c>
      <c r="H122" s="47">
        <v>14</v>
      </c>
      <c r="I122" s="46">
        <f>G122*H122</f>
        <v>6504.96</v>
      </c>
      <c r="J122" s="43" t="s">
        <v>8</v>
      </c>
      <c r="K122" s="43" t="s">
        <v>8</v>
      </c>
      <c r="L122" s="43" t="s">
        <v>8</v>
      </c>
      <c r="M122" s="43" t="s">
        <v>8</v>
      </c>
      <c r="N122" s="43" t="s">
        <v>8</v>
      </c>
      <c r="O122" s="43" t="s">
        <v>8</v>
      </c>
    </row>
    <row r="123" spans="1:15" s="5" customFormat="1" ht="33.75">
      <c r="A123" s="41" t="s">
        <v>129</v>
      </c>
      <c r="B123" s="43" t="s">
        <v>22</v>
      </c>
      <c r="C123" s="43">
        <v>3</v>
      </c>
      <c r="D123" s="44" t="s">
        <v>248</v>
      </c>
      <c r="E123" s="2" t="s">
        <v>11</v>
      </c>
      <c r="F123" s="45">
        <f>[2]COMPOSIÇÕES!G36</f>
        <v>1415.9417030000002</v>
      </c>
      <c r="G123" s="46">
        <v>1564.26</v>
      </c>
      <c r="H123" s="47">
        <v>4</v>
      </c>
      <c r="I123" s="46">
        <f t="shared" ref="I123:I136" si="45">G123*H123</f>
        <v>6257.04</v>
      </c>
      <c r="J123" s="43" t="s">
        <v>8</v>
      </c>
      <c r="K123" s="43" t="s">
        <v>8</v>
      </c>
      <c r="L123" s="43" t="s">
        <v>8</v>
      </c>
      <c r="M123" s="43" t="s">
        <v>8</v>
      </c>
      <c r="N123" s="43" t="s">
        <v>8</v>
      </c>
      <c r="O123" s="43" t="s">
        <v>8</v>
      </c>
    </row>
    <row r="124" spans="1:15" s="5" customFormat="1" ht="33.75">
      <c r="A124" s="41" t="s">
        <v>130</v>
      </c>
      <c r="B124" s="42" t="s">
        <v>0</v>
      </c>
      <c r="C124" s="43">
        <v>86943</v>
      </c>
      <c r="D124" s="53" t="s">
        <v>127</v>
      </c>
      <c r="E124" s="2" t="s">
        <v>11</v>
      </c>
      <c r="F124" s="45">
        <v>197.86</v>
      </c>
      <c r="G124" s="46">
        <v>218.58</v>
      </c>
      <c r="H124" s="47">
        <v>16</v>
      </c>
      <c r="I124" s="46">
        <f t="shared" si="45"/>
        <v>3497.28</v>
      </c>
      <c r="J124" s="43" t="s">
        <v>8</v>
      </c>
      <c r="K124" s="43" t="s">
        <v>8</v>
      </c>
      <c r="L124" s="43" t="s">
        <v>8</v>
      </c>
      <c r="M124" s="43" t="s">
        <v>8</v>
      </c>
      <c r="N124" s="43" t="s">
        <v>8</v>
      </c>
      <c r="O124" s="43" t="s">
        <v>8</v>
      </c>
    </row>
    <row r="125" spans="1:15" s="5" customFormat="1" ht="33.75">
      <c r="A125" s="41" t="s">
        <v>131</v>
      </c>
      <c r="B125" s="42" t="s">
        <v>12</v>
      </c>
      <c r="C125" s="43">
        <v>12292</v>
      </c>
      <c r="D125" s="53" t="s">
        <v>206</v>
      </c>
      <c r="E125" s="2" t="s">
        <v>11</v>
      </c>
      <c r="F125" s="45">
        <v>1260.9000000000001</v>
      </c>
      <c r="G125" s="46">
        <v>1392.98</v>
      </c>
      <c r="H125" s="47">
        <v>4</v>
      </c>
      <c r="I125" s="46">
        <f t="shared" si="45"/>
        <v>5571.92</v>
      </c>
      <c r="J125" s="43" t="s">
        <v>8</v>
      </c>
      <c r="K125" s="43" t="s">
        <v>8</v>
      </c>
      <c r="L125" s="43" t="s">
        <v>8</v>
      </c>
      <c r="M125" s="43" t="s">
        <v>8</v>
      </c>
      <c r="N125" s="43" t="s">
        <v>8</v>
      </c>
      <c r="O125" s="43" t="s">
        <v>8</v>
      </c>
    </row>
    <row r="126" spans="1:15" s="5" customFormat="1" ht="33.75">
      <c r="A126" s="41" t="s">
        <v>132</v>
      </c>
      <c r="B126" s="42" t="s">
        <v>12</v>
      </c>
      <c r="C126" s="43">
        <v>12261</v>
      </c>
      <c r="D126" s="53" t="s">
        <v>207</v>
      </c>
      <c r="E126" s="2" t="s">
        <v>11</v>
      </c>
      <c r="F126" s="45">
        <v>712.44</v>
      </c>
      <c r="G126" s="46">
        <v>787.06</v>
      </c>
      <c r="H126" s="47">
        <v>2</v>
      </c>
      <c r="I126" s="46">
        <f t="shared" si="45"/>
        <v>1574.12</v>
      </c>
      <c r="J126" s="43" t="s">
        <v>8</v>
      </c>
      <c r="K126" s="43" t="s">
        <v>8</v>
      </c>
      <c r="L126" s="43" t="s">
        <v>8</v>
      </c>
      <c r="M126" s="43" t="s">
        <v>8</v>
      </c>
      <c r="N126" s="43" t="s">
        <v>8</v>
      </c>
      <c r="O126" s="43" t="s">
        <v>8</v>
      </c>
    </row>
    <row r="127" spans="1:15" s="5" customFormat="1" ht="33.75">
      <c r="A127" s="41" t="s">
        <v>133</v>
      </c>
      <c r="B127" s="42" t="s">
        <v>12</v>
      </c>
      <c r="C127" s="43">
        <v>2074</v>
      </c>
      <c r="D127" s="53" t="s">
        <v>208</v>
      </c>
      <c r="E127" s="2" t="s">
        <v>11</v>
      </c>
      <c r="F127" s="45">
        <v>669.39</v>
      </c>
      <c r="G127" s="46">
        <v>739.5</v>
      </c>
      <c r="H127" s="47">
        <v>8</v>
      </c>
      <c r="I127" s="46">
        <f t="shared" si="45"/>
        <v>5916</v>
      </c>
      <c r="J127" s="43" t="s">
        <v>8</v>
      </c>
      <c r="K127" s="43" t="s">
        <v>8</v>
      </c>
      <c r="L127" s="43" t="s">
        <v>8</v>
      </c>
      <c r="M127" s="43" t="s">
        <v>8</v>
      </c>
      <c r="N127" s="43" t="s">
        <v>8</v>
      </c>
      <c r="O127" s="43" t="s">
        <v>8</v>
      </c>
    </row>
    <row r="128" spans="1:15" s="5" customFormat="1" ht="33.75">
      <c r="A128" s="41" t="s">
        <v>134</v>
      </c>
      <c r="B128" s="42" t="s">
        <v>1</v>
      </c>
      <c r="C128" s="43">
        <v>1</v>
      </c>
      <c r="D128" s="53" t="s">
        <v>177</v>
      </c>
      <c r="E128" s="2" t="s">
        <v>16</v>
      </c>
      <c r="F128" s="45">
        <f>[2]COTAÇÕES!G18</f>
        <v>1961.2908415841584</v>
      </c>
      <c r="G128" s="46">
        <v>2166.73</v>
      </c>
      <c r="H128" s="47">
        <v>2.2799999999999998</v>
      </c>
      <c r="I128" s="46">
        <f t="shared" si="45"/>
        <v>4940.1443999999992</v>
      </c>
      <c r="J128" s="43" t="s">
        <v>8</v>
      </c>
      <c r="K128" s="43" t="s">
        <v>8</v>
      </c>
      <c r="L128" s="43" t="s">
        <v>8</v>
      </c>
      <c r="M128" s="43" t="s">
        <v>8</v>
      </c>
      <c r="N128" s="43" t="s">
        <v>8</v>
      </c>
      <c r="O128" s="43" t="s">
        <v>8</v>
      </c>
    </row>
    <row r="129" spans="1:15" s="5" customFormat="1" ht="12.75">
      <c r="A129" s="41" t="s">
        <v>212</v>
      </c>
      <c r="B129" s="42" t="s">
        <v>0</v>
      </c>
      <c r="C129" s="43">
        <v>86872</v>
      </c>
      <c r="D129" s="53" t="s">
        <v>178</v>
      </c>
      <c r="E129" s="2" t="s">
        <v>11</v>
      </c>
      <c r="F129" s="45">
        <v>623.59</v>
      </c>
      <c r="G129" s="46">
        <v>688.9</v>
      </c>
      <c r="H129" s="47">
        <v>1</v>
      </c>
      <c r="I129" s="46">
        <f t="shared" si="45"/>
        <v>688.9</v>
      </c>
      <c r="J129" s="43" t="s">
        <v>8</v>
      </c>
      <c r="K129" s="43" t="s">
        <v>8</v>
      </c>
      <c r="L129" s="43" t="s">
        <v>8</v>
      </c>
      <c r="M129" s="43" t="s">
        <v>8</v>
      </c>
      <c r="N129" s="43" t="s">
        <v>8</v>
      </c>
      <c r="O129" s="43" t="s">
        <v>8</v>
      </c>
    </row>
    <row r="130" spans="1:15" s="5" customFormat="1" ht="12.75">
      <c r="A130" s="41" t="s">
        <v>213</v>
      </c>
      <c r="B130" s="42" t="s">
        <v>9</v>
      </c>
      <c r="C130" s="43">
        <v>11688</v>
      </c>
      <c r="D130" s="53" t="s">
        <v>179</v>
      </c>
      <c r="E130" s="2" t="s">
        <v>11</v>
      </c>
      <c r="F130" s="45">
        <v>378.92</v>
      </c>
      <c r="G130" s="46">
        <v>418.6</v>
      </c>
      <c r="H130" s="47">
        <v>1</v>
      </c>
      <c r="I130" s="46">
        <f t="shared" si="45"/>
        <v>418.6</v>
      </c>
      <c r="J130" s="43" t="s">
        <v>8</v>
      </c>
      <c r="K130" s="43" t="s">
        <v>8</v>
      </c>
      <c r="L130" s="43" t="s">
        <v>8</v>
      </c>
      <c r="M130" s="43" t="s">
        <v>8</v>
      </c>
      <c r="N130" s="43" t="s">
        <v>8</v>
      </c>
      <c r="O130" s="43" t="s">
        <v>8</v>
      </c>
    </row>
    <row r="131" spans="1:15" s="5" customFormat="1" ht="12.75">
      <c r="A131" s="41" t="s">
        <v>214</v>
      </c>
      <c r="B131" s="42" t="s">
        <v>0</v>
      </c>
      <c r="C131" s="43">
        <v>9535</v>
      </c>
      <c r="D131" s="53" t="s">
        <v>180</v>
      </c>
      <c r="E131" s="2" t="s">
        <v>11</v>
      </c>
      <c r="F131" s="45">
        <v>60.43</v>
      </c>
      <c r="G131" s="46">
        <v>66.760000000000005</v>
      </c>
      <c r="H131" s="47">
        <v>1</v>
      </c>
      <c r="I131" s="46">
        <f t="shared" si="45"/>
        <v>66.760000000000005</v>
      </c>
      <c r="J131" s="43" t="s">
        <v>8</v>
      </c>
      <c r="K131" s="43" t="s">
        <v>8</v>
      </c>
      <c r="L131" s="43" t="s">
        <v>8</v>
      </c>
      <c r="M131" s="43" t="s">
        <v>8</v>
      </c>
      <c r="N131" s="43" t="s">
        <v>8</v>
      </c>
      <c r="O131" s="43" t="s">
        <v>8</v>
      </c>
    </row>
    <row r="132" spans="1:15" s="5" customFormat="1" ht="12.75">
      <c r="A132" s="41" t="s">
        <v>215</v>
      </c>
      <c r="B132" s="42" t="s">
        <v>9</v>
      </c>
      <c r="C132" s="43">
        <v>11777</v>
      </c>
      <c r="D132" s="53" t="s">
        <v>181</v>
      </c>
      <c r="E132" s="2" t="s">
        <v>11</v>
      </c>
      <c r="F132" s="45">
        <v>96.92</v>
      </c>
      <c r="G132" s="46">
        <v>107.07</v>
      </c>
      <c r="H132" s="47">
        <v>1</v>
      </c>
      <c r="I132" s="46">
        <f t="shared" si="45"/>
        <v>107.07</v>
      </c>
      <c r="J132" s="43" t="s">
        <v>8</v>
      </c>
      <c r="K132" s="43" t="s">
        <v>8</v>
      </c>
      <c r="L132" s="43" t="s">
        <v>8</v>
      </c>
      <c r="M132" s="43" t="s">
        <v>8</v>
      </c>
      <c r="N132" s="43" t="s">
        <v>8</v>
      </c>
      <c r="O132" s="43" t="s">
        <v>8</v>
      </c>
    </row>
    <row r="133" spans="1:15" s="5" customFormat="1" ht="12.75">
      <c r="A133" s="41" t="s">
        <v>216</v>
      </c>
      <c r="B133" s="42" t="s">
        <v>0</v>
      </c>
      <c r="C133" s="43">
        <v>86906</v>
      </c>
      <c r="D133" s="44" t="s">
        <v>271</v>
      </c>
      <c r="E133" s="2" t="s">
        <v>11</v>
      </c>
      <c r="F133" s="45">
        <v>66.42</v>
      </c>
      <c r="G133" s="46">
        <v>73.37</v>
      </c>
      <c r="H133" s="47">
        <v>2</v>
      </c>
      <c r="I133" s="46">
        <f t="shared" si="45"/>
        <v>146.74</v>
      </c>
      <c r="J133" s="43" t="s">
        <v>8</v>
      </c>
      <c r="K133" s="43" t="s">
        <v>8</v>
      </c>
      <c r="L133" s="43" t="s">
        <v>8</v>
      </c>
      <c r="M133" s="43" t="s">
        <v>8</v>
      </c>
      <c r="N133" s="43" t="s">
        <v>8</v>
      </c>
      <c r="O133" s="43" t="s">
        <v>8</v>
      </c>
    </row>
    <row r="134" spans="1:15" s="5" customFormat="1" ht="12.75">
      <c r="A134" s="41" t="s">
        <v>217</v>
      </c>
      <c r="B134" s="42" t="s">
        <v>9</v>
      </c>
      <c r="C134" s="43">
        <v>7602</v>
      </c>
      <c r="D134" s="53" t="s">
        <v>182</v>
      </c>
      <c r="E134" s="2" t="s">
        <v>11</v>
      </c>
      <c r="F134" s="45">
        <v>20.07</v>
      </c>
      <c r="G134" s="46">
        <v>22.17</v>
      </c>
      <c r="H134" s="47">
        <v>2</v>
      </c>
      <c r="I134" s="46">
        <f t="shared" si="45"/>
        <v>44.34</v>
      </c>
      <c r="J134" s="43" t="s">
        <v>8</v>
      </c>
      <c r="K134" s="43" t="s">
        <v>8</v>
      </c>
      <c r="L134" s="43" t="s">
        <v>8</v>
      </c>
      <c r="M134" s="43" t="s">
        <v>8</v>
      </c>
      <c r="N134" s="43" t="s">
        <v>8</v>
      </c>
      <c r="O134" s="43" t="s">
        <v>8</v>
      </c>
    </row>
    <row r="135" spans="1:15" s="5" customFormat="1" ht="12.75">
      <c r="A135" s="41" t="s">
        <v>218</v>
      </c>
      <c r="B135" s="42" t="s">
        <v>12</v>
      </c>
      <c r="C135" s="43">
        <v>802</v>
      </c>
      <c r="D135" s="53" t="s">
        <v>183</v>
      </c>
      <c r="E135" s="2" t="s">
        <v>11</v>
      </c>
      <c r="F135" s="45">
        <v>648.01</v>
      </c>
      <c r="G135" s="46">
        <v>715.88</v>
      </c>
      <c r="H135" s="47">
        <v>2</v>
      </c>
      <c r="I135" s="46">
        <f t="shared" si="45"/>
        <v>1431.76</v>
      </c>
      <c r="J135" s="43" t="s">
        <v>8</v>
      </c>
      <c r="K135" s="43" t="s">
        <v>8</v>
      </c>
      <c r="L135" s="43" t="s">
        <v>8</v>
      </c>
      <c r="M135" s="43" t="s">
        <v>8</v>
      </c>
      <c r="N135" s="43" t="s">
        <v>8</v>
      </c>
      <c r="O135" s="43" t="s">
        <v>8</v>
      </c>
    </row>
    <row r="136" spans="1:15" s="5" customFormat="1" ht="22.5">
      <c r="A136" s="41" t="s">
        <v>249</v>
      </c>
      <c r="B136" s="42" t="s">
        <v>9</v>
      </c>
      <c r="C136" s="43">
        <v>36081</v>
      </c>
      <c r="D136" s="53" t="s">
        <v>184</v>
      </c>
      <c r="E136" s="2" t="s">
        <v>11</v>
      </c>
      <c r="F136" s="45">
        <v>206.9</v>
      </c>
      <c r="G136" s="46">
        <v>228.57</v>
      </c>
      <c r="H136" s="47">
        <v>11</v>
      </c>
      <c r="I136" s="46">
        <f t="shared" si="45"/>
        <v>2514.27</v>
      </c>
      <c r="J136" s="43" t="s">
        <v>8</v>
      </c>
      <c r="K136" s="43" t="s">
        <v>8</v>
      </c>
      <c r="L136" s="43" t="s">
        <v>8</v>
      </c>
      <c r="M136" s="43" t="s">
        <v>8</v>
      </c>
      <c r="N136" s="43" t="s">
        <v>8</v>
      </c>
      <c r="O136" s="43" t="s">
        <v>8</v>
      </c>
    </row>
    <row r="137" spans="1:15" s="5" customFormat="1" ht="12.75">
      <c r="A137" s="35" t="s">
        <v>110</v>
      </c>
      <c r="B137" s="36"/>
      <c r="C137" s="37"/>
      <c r="D137" s="38" t="s">
        <v>109</v>
      </c>
      <c r="E137" s="32"/>
      <c r="F137" s="9"/>
      <c r="G137" s="46"/>
      <c r="H137" s="8"/>
      <c r="I137" s="87">
        <f>SUM(I138:I142)</f>
        <v>15184.54</v>
      </c>
      <c r="J137" s="8"/>
      <c r="K137" s="88"/>
      <c r="L137" s="89"/>
      <c r="M137" s="8"/>
      <c r="N137" s="88"/>
      <c r="O137" s="90"/>
    </row>
    <row r="138" spans="1:15" s="5" customFormat="1" ht="12.75">
      <c r="A138" s="41" t="s">
        <v>253</v>
      </c>
      <c r="B138" s="13" t="s">
        <v>0</v>
      </c>
      <c r="C138" s="13">
        <v>97592</v>
      </c>
      <c r="D138" s="14" t="s">
        <v>267</v>
      </c>
      <c r="E138" s="15" t="s">
        <v>11</v>
      </c>
      <c r="F138" s="16">
        <v>97.04</v>
      </c>
      <c r="G138" s="46">
        <v>107.2</v>
      </c>
      <c r="H138" s="16">
        <v>12</v>
      </c>
      <c r="I138" s="46">
        <f>G138*H138</f>
        <v>1286.4000000000001</v>
      </c>
      <c r="J138" s="43" t="s">
        <v>8</v>
      </c>
      <c r="K138" s="43" t="s">
        <v>8</v>
      </c>
      <c r="L138" s="43" t="s">
        <v>8</v>
      </c>
      <c r="M138" s="43" t="s">
        <v>8</v>
      </c>
      <c r="N138" s="43" t="s">
        <v>8</v>
      </c>
      <c r="O138" s="43" t="s">
        <v>8</v>
      </c>
    </row>
    <row r="139" spans="1:15" s="5" customFormat="1" ht="12.75">
      <c r="A139" s="41" t="s">
        <v>254</v>
      </c>
      <c r="B139" s="13" t="s">
        <v>0</v>
      </c>
      <c r="C139" s="13">
        <v>97607</v>
      </c>
      <c r="D139" s="14" t="s">
        <v>264</v>
      </c>
      <c r="E139" s="15" t="s">
        <v>11</v>
      </c>
      <c r="F139" s="16">
        <v>100.09</v>
      </c>
      <c r="G139" s="46">
        <v>110.57</v>
      </c>
      <c r="H139" s="16">
        <v>8</v>
      </c>
      <c r="I139" s="46">
        <f>G139*H139</f>
        <v>884.56</v>
      </c>
      <c r="J139" s="43" t="s">
        <v>8</v>
      </c>
      <c r="K139" s="43" t="s">
        <v>8</v>
      </c>
      <c r="L139" s="43" t="s">
        <v>8</v>
      </c>
      <c r="M139" s="43" t="s">
        <v>8</v>
      </c>
      <c r="N139" s="43" t="s">
        <v>8</v>
      </c>
      <c r="O139" s="43" t="s">
        <v>8</v>
      </c>
    </row>
    <row r="140" spans="1:15" s="5" customFormat="1" ht="22.5">
      <c r="A140" s="41" t="s">
        <v>255</v>
      </c>
      <c r="B140" s="13" t="s">
        <v>0</v>
      </c>
      <c r="C140" s="13" t="s">
        <v>266</v>
      </c>
      <c r="D140" s="14" t="s">
        <v>265</v>
      </c>
      <c r="E140" s="15" t="s">
        <v>11</v>
      </c>
      <c r="F140" s="16">
        <v>183.16</v>
      </c>
      <c r="G140" s="46">
        <v>202.34</v>
      </c>
      <c r="H140" s="16">
        <v>64</v>
      </c>
      <c r="I140" s="46">
        <f>G140*H140</f>
        <v>12949.76</v>
      </c>
      <c r="J140" s="43" t="s">
        <v>8</v>
      </c>
      <c r="K140" s="43" t="s">
        <v>8</v>
      </c>
      <c r="L140" s="43" t="s">
        <v>8</v>
      </c>
      <c r="M140" s="43" t="s">
        <v>8</v>
      </c>
      <c r="N140" s="43" t="s">
        <v>8</v>
      </c>
      <c r="O140" s="43" t="s">
        <v>8</v>
      </c>
    </row>
    <row r="141" spans="1:15" s="5" customFormat="1" ht="12.75">
      <c r="A141" s="41" t="s">
        <v>256</v>
      </c>
      <c r="B141" s="13" t="s">
        <v>0</v>
      </c>
      <c r="C141" s="17">
        <v>91955</v>
      </c>
      <c r="D141" s="18" t="s">
        <v>268</v>
      </c>
      <c r="E141" s="15" t="s">
        <v>11</v>
      </c>
      <c r="F141" s="16">
        <v>26.93</v>
      </c>
      <c r="G141" s="46">
        <v>29.74</v>
      </c>
      <c r="H141" s="16">
        <v>1</v>
      </c>
      <c r="I141" s="46">
        <f>G141*H141</f>
        <v>29.74</v>
      </c>
      <c r="J141" s="43" t="s">
        <v>8</v>
      </c>
      <c r="K141" s="43" t="s">
        <v>8</v>
      </c>
      <c r="L141" s="43" t="s">
        <v>8</v>
      </c>
      <c r="M141" s="43" t="s">
        <v>8</v>
      </c>
      <c r="N141" s="43" t="s">
        <v>8</v>
      </c>
      <c r="O141" s="43" t="s">
        <v>8</v>
      </c>
    </row>
    <row r="142" spans="1:15" s="5" customFormat="1" ht="12.75">
      <c r="A142" s="41" t="s">
        <v>257</v>
      </c>
      <c r="B142" s="13" t="s">
        <v>0</v>
      </c>
      <c r="C142" s="17">
        <v>83399</v>
      </c>
      <c r="D142" s="18" t="s">
        <v>270</v>
      </c>
      <c r="E142" s="15" t="s">
        <v>11</v>
      </c>
      <c r="F142" s="16">
        <v>30.85</v>
      </c>
      <c r="G142" s="46">
        <v>34.08</v>
      </c>
      <c r="H142" s="16">
        <v>1</v>
      </c>
      <c r="I142" s="46">
        <f>G142*H142</f>
        <v>34.08</v>
      </c>
      <c r="J142" s="43" t="s">
        <v>8</v>
      </c>
      <c r="K142" s="43" t="s">
        <v>8</v>
      </c>
      <c r="L142" s="43" t="s">
        <v>8</v>
      </c>
      <c r="M142" s="43" t="s">
        <v>8</v>
      </c>
      <c r="N142" s="43" t="s">
        <v>8</v>
      </c>
      <c r="O142" s="43" t="s">
        <v>8</v>
      </c>
    </row>
    <row r="143" spans="1:15" s="5" customFormat="1" ht="12.75">
      <c r="A143" s="33">
        <v>10</v>
      </c>
      <c r="B143" s="33"/>
      <c r="C143" s="33"/>
      <c r="D143" s="54" t="s">
        <v>67</v>
      </c>
      <c r="E143" s="79"/>
      <c r="F143" s="80"/>
      <c r="G143" s="81"/>
      <c r="H143" s="80"/>
      <c r="I143" s="82">
        <f>SUM(I144,I146,I151,I154)</f>
        <v>63338.038</v>
      </c>
      <c r="J143" s="80"/>
      <c r="K143" s="83"/>
      <c r="L143" s="84"/>
      <c r="M143" s="85"/>
      <c r="N143" s="83"/>
      <c r="O143" s="86"/>
    </row>
    <row r="144" spans="1:15" s="5" customFormat="1" ht="12.75">
      <c r="A144" s="35" t="s">
        <v>100</v>
      </c>
      <c r="B144" s="36"/>
      <c r="C144" s="37"/>
      <c r="D144" s="38" t="s">
        <v>115</v>
      </c>
      <c r="E144" s="32"/>
      <c r="F144" s="9"/>
      <c r="G144" s="11"/>
      <c r="H144" s="8"/>
      <c r="I144" s="87">
        <f>I145</f>
        <v>1503</v>
      </c>
      <c r="J144" s="8"/>
      <c r="K144" s="88"/>
      <c r="L144" s="89"/>
      <c r="M144" s="8"/>
      <c r="N144" s="88"/>
      <c r="O144" s="90"/>
    </row>
    <row r="145" spans="1:18" s="5" customFormat="1" ht="22.5">
      <c r="A145" s="41" t="s">
        <v>223</v>
      </c>
      <c r="B145" s="42" t="s">
        <v>0</v>
      </c>
      <c r="C145" s="43">
        <v>83336</v>
      </c>
      <c r="D145" s="53" t="s">
        <v>185</v>
      </c>
      <c r="E145" s="43" t="s">
        <v>186</v>
      </c>
      <c r="F145" s="45">
        <v>4.54</v>
      </c>
      <c r="G145" s="46">
        <v>5.01</v>
      </c>
      <c r="H145" s="47">
        <v>300</v>
      </c>
      <c r="I145" s="46">
        <f>G145*H145</f>
        <v>1503</v>
      </c>
      <c r="J145" s="43" t="s">
        <v>8</v>
      </c>
      <c r="K145" s="43" t="s">
        <v>8</v>
      </c>
      <c r="L145" s="43" t="s">
        <v>8</v>
      </c>
      <c r="M145" s="43" t="s">
        <v>8</v>
      </c>
      <c r="N145" s="43" t="s">
        <v>8</v>
      </c>
      <c r="O145" s="43" t="s">
        <v>8</v>
      </c>
    </row>
    <row r="146" spans="1:18" s="5" customFormat="1" ht="15">
      <c r="A146" s="35" t="s">
        <v>113</v>
      </c>
      <c r="B146" s="36"/>
      <c r="C146" s="37"/>
      <c r="D146" s="38" t="s">
        <v>220</v>
      </c>
      <c r="E146" s="37"/>
      <c r="F146" s="39"/>
      <c r="G146" s="46"/>
      <c r="H146" s="51"/>
      <c r="I146" s="52">
        <f>SUM(I147:I150)</f>
        <v>21270.292399999998</v>
      </c>
      <c r="J146" s="37"/>
      <c r="K146" s="49"/>
      <c r="L146" s="49"/>
      <c r="M146" s="49"/>
      <c r="N146" s="49"/>
      <c r="O146" s="50"/>
    </row>
    <row r="147" spans="1:18" s="5" customFormat="1" ht="22.5">
      <c r="A147" s="41" t="s">
        <v>224</v>
      </c>
      <c r="B147" s="42" t="s">
        <v>0</v>
      </c>
      <c r="C147" s="43">
        <v>83694</v>
      </c>
      <c r="D147" s="53" t="s">
        <v>187</v>
      </c>
      <c r="E147" s="43" t="s">
        <v>16</v>
      </c>
      <c r="F147" s="45">
        <v>15.17</v>
      </c>
      <c r="G147" s="46">
        <v>16.75</v>
      </c>
      <c r="H147" s="47">
        <v>604</v>
      </c>
      <c r="I147" s="46">
        <f>G147*H147</f>
        <v>10117</v>
      </c>
      <c r="J147" s="43" t="s">
        <v>8</v>
      </c>
      <c r="K147" s="43" t="s">
        <v>8</v>
      </c>
      <c r="L147" s="43" t="s">
        <v>8</v>
      </c>
      <c r="M147" s="43" t="s">
        <v>8</v>
      </c>
      <c r="N147" s="43" t="s">
        <v>8</v>
      </c>
      <c r="O147" s="43" t="s">
        <v>8</v>
      </c>
    </row>
    <row r="148" spans="1:18" s="5" customFormat="1" ht="22.5">
      <c r="A148" s="41" t="s">
        <v>225</v>
      </c>
      <c r="B148" s="42" t="s">
        <v>0</v>
      </c>
      <c r="C148" s="43">
        <v>95969</v>
      </c>
      <c r="D148" s="44" t="s">
        <v>250</v>
      </c>
      <c r="E148" s="43" t="s">
        <v>186</v>
      </c>
      <c r="F148" s="45">
        <v>2002.18</v>
      </c>
      <c r="G148" s="46">
        <v>2211.9</v>
      </c>
      <c r="H148" s="47">
        <v>0.88</v>
      </c>
      <c r="I148" s="46">
        <f>G148*H148</f>
        <v>1946.472</v>
      </c>
      <c r="J148" s="43" t="s">
        <v>8</v>
      </c>
      <c r="K148" s="43" t="s">
        <v>8</v>
      </c>
      <c r="L148" s="43" t="s">
        <v>8</v>
      </c>
      <c r="M148" s="43" t="s">
        <v>8</v>
      </c>
      <c r="N148" s="43" t="s">
        <v>8</v>
      </c>
      <c r="O148" s="43" t="s">
        <v>8</v>
      </c>
    </row>
    <row r="149" spans="1:18" s="5" customFormat="1" ht="22.5">
      <c r="A149" s="41" t="s">
        <v>226</v>
      </c>
      <c r="B149" s="42" t="s">
        <v>0</v>
      </c>
      <c r="C149" s="43">
        <v>94992</v>
      </c>
      <c r="D149" s="44" t="s">
        <v>191</v>
      </c>
      <c r="E149" s="43" t="s">
        <v>16</v>
      </c>
      <c r="F149" s="45">
        <v>62.59</v>
      </c>
      <c r="G149" s="46">
        <v>69.14</v>
      </c>
      <c r="H149" s="47">
        <v>18.46</v>
      </c>
      <c r="I149" s="46">
        <f>G149*H149</f>
        <v>1276.3244</v>
      </c>
      <c r="J149" s="43" t="s">
        <v>8</v>
      </c>
      <c r="K149" s="43" t="s">
        <v>8</v>
      </c>
      <c r="L149" s="43" t="s">
        <v>8</v>
      </c>
      <c r="M149" s="43" t="s">
        <v>8</v>
      </c>
      <c r="N149" s="43" t="s">
        <v>8</v>
      </c>
      <c r="O149" s="43" t="s">
        <v>8</v>
      </c>
    </row>
    <row r="150" spans="1:18" s="5" customFormat="1" ht="12.75">
      <c r="A150" s="41" t="s">
        <v>227</v>
      </c>
      <c r="B150" s="42" t="s">
        <v>0</v>
      </c>
      <c r="C150" s="43" t="s">
        <v>192</v>
      </c>
      <c r="D150" s="53" t="s">
        <v>193</v>
      </c>
      <c r="E150" s="43" t="s">
        <v>13</v>
      </c>
      <c r="F150" s="45">
        <v>338.62</v>
      </c>
      <c r="G150" s="46">
        <v>374.08</v>
      </c>
      <c r="H150" s="47">
        <v>21.2</v>
      </c>
      <c r="I150" s="46">
        <f>G150*H150</f>
        <v>7930.4959999999992</v>
      </c>
      <c r="J150" s="43" t="s">
        <v>8</v>
      </c>
      <c r="K150" s="43" t="s">
        <v>8</v>
      </c>
      <c r="L150" s="43" t="s">
        <v>8</v>
      </c>
      <c r="M150" s="43" t="s">
        <v>8</v>
      </c>
      <c r="N150" s="43" t="s">
        <v>8</v>
      </c>
      <c r="O150" s="43" t="s">
        <v>8</v>
      </c>
    </row>
    <row r="151" spans="1:18" s="5" customFormat="1" ht="12.75">
      <c r="A151" s="35" t="s">
        <v>114</v>
      </c>
      <c r="B151" s="36"/>
      <c r="C151" s="37"/>
      <c r="D151" s="38" t="s">
        <v>116</v>
      </c>
      <c r="E151" s="32"/>
      <c r="F151" s="9"/>
      <c r="G151" s="46"/>
      <c r="H151" s="8"/>
      <c r="I151" s="87">
        <f>SUM(I152:I153)</f>
        <v>22386.809999999998</v>
      </c>
      <c r="J151" s="8"/>
      <c r="K151" s="88"/>
      <c r="L151" s="89"/>
      <c r="M151" s="8"/>
      <c r="N151" s="88"/>
      <c r="O151" s="90"/>
    </row>
    <row r="152" spans="1:18" s="5" customFormat="1" ht="12.75">
      <c r="A152" s="41" t="s">
        <v>221</v>
      </c>
      <c r="B152" s="42" t="s">
        <v>0</v>
      </c>
      <c r="C152" s="43">
        <v>98655</v>
      </c>
      <c r="D152" s="44" t="s">
        <v>194</v>
      </c>
      <c r="E152" s="43" t="s">
        <v>13</v>
      </c>
      <c r="F152" s="45">
        <v>421.05</v>
      </c>
      <c r="G152" s="46">
        <v>465.15</v>
      </c>
      <c r="H152" s="47">
        <v>30</v>
      </c>
      <c r="I152" s="46">
        <f>G152*H152</f>
        <v>13954.5</v>
      </c>
      <c r="J152" s="43" t="s">
        <v>8</v>
      </c>
      <c r="K152" s="43" t="s">
        <v>8</v>
      </c>
      <c r="L152" s="43" t="s">
        <v>8</v>
      </c>
      <c r="M152" s="43" t="s">
        <v>8</v>
      </c>
      <c r="N152" s="43" t="s">
        <v>8</v>
      </c>
      <c r="O152" s="43" t="s">
        <v>8</v>
      </c>
    </row>
    <row r="153" spans="1:18" s="5" customFormat="1" ht="12.75">
      <c r="A153" s="41" t="s">
        <v>222</v>
      </c>
      <c r="B153" s="42" t="s">
        <v>0</v>
      </c>
      <c r="C153" s="43">
        <v>68054</v>
      </c>
      <c r="D153" s="53" t="s">
        <v>326</v>
      </c>
      <c r="E153" s="43" t="s">
        <v>16</v>
      </c>
      <c r="F153" s="45">
        <v>246.22</v>
      </c>
      <c r="G153" s="46">
        <v>272.01</v>
      </c>
      <c r="H153" s="94">
        <v>31</v>
      </c>
      <c r="I153" s="46">
        <f>G153*H153</f>
        <v>8432.31</v>
      </c>
      <c r="J153" s="43" t="s">
        <v>8</v>
      </c>
      <c r="K153" s="43" t="s">
        <v>8</v>
      </c>
      <c r="L153" s="43" t="s">
        <v>8</v>
      </c>
      <c r="M153" s="43" t="s">
        <v>8</v>
      </c>
      <c r="N153" s="43" t="s">
        <v>8</v>
      </c>
      <c r="O153" s="43" t="s">
        <v>8</v>
      </c>
    </row>
    <row r="154" spans="1:18" s="5" customFormat="1" ht="12.75">
      <c r="A154" s="35" t="s">
        <v>117</v>
      </c>
      <c r="B154" s="36"/>
      <c r="C154" s="37"/>
      <c r="D154" s="38" t="s">
        <v>219</v>
      </c>
      <c r="E154" s="32"/>
      <c r="F154" s="9"/>
      <c r="G154" s="46"/>
      <c r="H154" s="8"/>
      <c r="I154" s="87">
        <f>SUM(I155:I157)</f>
        <v>18177.935600000001</v>
      </c>
      <c r="J154" s="8"/>
      <c r="K154" s="88"/>
      <c r="L154" s="89"/>
      <c r="M154" s="8"/>
      <c r="N154" s="88"/>
      <c r="O154" s="90"/>
    </row>
    <row r="155" spans="1:18" s="5" customFormat="1" ht="22.5">
      <c r="A155" s="41" t="s">
        <v>118</v>
      </c>
      <c r="B155" s="42" t="s">
        <v>0</v>
      </c>
      <c r="C155" s="43">
        <v>92396</v>
      </c>
      <c r="D155" s="44" t="s">
        <v>188</v>
      </c>
      <c r="E155" s="43" t="s">
        <v>16</v>
      </c>
      <c r="F155" s="45">
        <v>50.3</v>
      </c>
      <c r="G155" s="46">
        <v>55.56</v>
      </c>
      <c r="H155" s="47">
        <v>221.76</v>
      </c>
      <c r="I155" s="46">
        <f>G155*H155</f>
        <v>12320.9856</v>
      </c>
      <c r="J155" s="43" t="s">
        <v>8</v>
      </c>
      <c r="K155" s="43" t="s">
        <v>8</v>
      </c>
      <c r="L155" s="43" t="s">
        <v>8</v>
      </c>
      <c r="M155" s="43" t="s">
        <v>8</v>
      </c>
      <c r="N155" s="43" t="s">
        <v>8</v>
      </c>
      <c r="O155" s="43" t="s">
        <v>8</v>
      </c>
    </row>
    <row r="156" spans="1:18" s="5" customFormat="1" ht="33.75">
      <c r="A156" s="41" t="s">
        <v>119</v>
      </c>
      <c r="B156" s="42" t="s">
        <v>0</v>
      </c>
      <c r="C156" s="43">
        <v>94273</v>
      </c>
      <c r="D156" s="44" t="s">
        <v>189</v>
      </c>
      <c r="E156" s="43" t="s">
        <v>13</v>
      </c>
      <c r="F156" s="45">
        <v>37.43</v>
      </c>
      <c r="G156" s="46">
        <v>41.34</v>
      </c>
      <c r="H156" s="47">
        <v>62.5</v>
      </c>
      <c r="I156" s="46">
        <f>G156*H156</f>
        <v>2583.75</v>
      </c>
      <c r="J156" s="43" t="s">
        <v>8</v>
      </c>
      <c r="K156" s="43" t="s">
        <v>8</v>
      </c>
      <c r="L156" s="43" t="s">
        <v>8</v>
      </c>
      <c r="M156" s="43" t="s">
        <v>8</v>
      </c>
      <c r="N156" s="43" t="s">
        <v>8</v>
      </c>
      <c r="O156" s="43" t="s">
        <v>8</v>
      </c>
      <c r="Q156" s="201"/>
      <c r="R156" s="202"/>
    </row>
    <row r="157" spans="1:18" s="5" customFormat="1" ht="12.75">
      <c r="A157" s="41" t="s">
        <v>228</v>
      </c>
      <c r="B157" s="42" t="s">
        <v>9</v>
      </c>
      <c r="C157" s="43">
        <v>36178</v>
      </c>
      <c r="D157" s="53" t="s">
        <v>190</v>
      </c>
      <c r="E157" s="2" t="s">
        <v>11</v>
      </c>
      <c r="F157" s="45">
        <v>6.05</v>
      </c>
      <c r="G157" s="46">
        <v>6.68</v>
      </c>
      <c r="H157" s="56">
        <v>490</v>
      </c>
      <c r="I157" s="46">
        <f>G157*H157</f>
        <v>3273.2</v>
      </c>
      <c r="J157" s="43" t="s">
        <v>8</v>
      </c>
      <c r="K157" s="43" t="s">
        <v>8</v>
      </c>
      <c r="L157" s="43" t="s">
        <v>8</v>
      </c>
      <c r="M157" s="43" t="s">
        <v>8</v>
      </c>
      <c r="N157" s="43" t="s">
        <v>8</v>
      </c>
      <c r="O157" s="43" t="s">
        <v>8</v>
      </c>
    </row>
    <row r="158" spans="1:18" s="5" customFormat="1" ht="12.75">
      <c r="A158" s="33">
        <v>11</v>
      </c>
      <c r="B158" s="33"/>
      <c r="C158" s="33"/>
      <c r="D158" s="54" t="s">
        <v>111</v>
      </c>
      <c r="E158" s="79"/>
      <c r="F158" s="80"/>
      <c r="G158" s="81"/>
      <c r="H158" s="80"/>
      <c r="I158" s="82">
        <f>I159</f>
        <v>3366</v>
      </c>
      <c r="J158" s="80"/>
      <c r="K158" s="83"/>
      <c r="L158" s="84"/>
      <c r="M158" s="85"/>
      <c r="N158" s="83"/>
      <c r="O158" s="86"/>
    </row>
    <row r="159" spans="1:18" s="5" customFormat="1" ht="12.75">
      <c r="A159" s="35" t="s">
        <v>112</v>
      </c>
      <c r="B159" s="36"/>
      <c r="C159" s="37"/>
      <c r="D159" s="38" t="s">
        <v>195</v>
      </c>
      <c r="E159" s="32"/>
      <c r="F159" s="9"/>
      <c r="G159" s="11"/>
      <c r="H159" s="8"/>
      <c r="I159" s="87">
        <f>SUM(I160:I173)</f>
        <v>3366</v>
      </c>
      <c r="J159" s="8"/>
      <c r="K159" s="88"/>
      <c r="L159" s="89"/>
      <c r="M159" s="8"/>
      <c r="N159" s="88"/>
      <c r="O159" s="90"/>
    </row>
    <row r="160" spans="1:18" s="5" customFormat="1" ht="12.75">
      <c r="A160" s="69" t="s">
        <v>229</v>
      </c>
      <c r="B160" s="70" t="s">
        <v>12</v>
      </c>
      <c r="C160" s="71">
        <v>2450</v>
      </c>
      <c r="D160" s="72" t="s">
        <v>230</v>
      </c>
      <c r="E160" s="71" t="s">
        <v>16</v>
      </c>
      <c r="F160" s="73">
        <v>1.69</v>
      </c>
      <c r="G160" s="46">
        <v>1.87</v>
      </c>
      <c r="H160" s="74">
        <v>1800</v>
      </c>
      <c r="I160" s="46">
        <f>G160*H160</f>
        <v>3366</v>
      </c>
      <c r="J160" s="43" t="s">
        <v>8</v>
      </c>
      <c r="K160" s="43" t="s">
        <v>8</v>
      </c>
      <c r="L160" s="43" t="s">
        <v>8</v>
      </c>
      <c r="M160" s="43" t="s">
        <v>8</v>
      </c>
      <c r="N160" s="43" t="s">
        <v>8</v>
      </c>
      <c r="O160" s="43" t="s">
        <v>8</v>
      </c>
    </row>
    <row r="161" spans="1:15" ht="30" customHeight="1">
      <c r="A161" s="75"/>
      <c r="B161" s="76"/>
      <c r="C161" s="76"/>
      <c r="D161" s="76"/>
      <c r="E161" s="76"/>
      <c r="F161" s="76"/>
      <c r="G161" s="91" t="s">
        <v>344</v>
      </c>
      <c r="H161" s="378">
        <f>SUM(I6,I10,I17,I20,I29,I42,I57,I73,I120,I143,I158)</f>
        <v>577625.17779999995</v>
      </c>
      <c r="I161" s="379"/>
      <c r="J161" s="436">
        <f>SUM(K6,K10,K17,K20,K29,K42,K57,K73,K120,K143,K158)</f>
        <v>105293.3144</v>
      </c>
      <c r="K161" s="437"/>
      <c r="L161" s="95">
        <f>J161/H161</f>
        <v>0.18228657345067692</v>
      </c>
      <c r="M161" s="438">
        <f>SUM(N6,N10,N17,N20,N29,N42,N57,N73,N120,N143,N158)</f>
        <v>49037.62999999999</v>
      </c>
      <c r="N161" s="439"/>
      <c r="O161" s="95">
        <f>M161/H161</f>
        <v>8.4895243290414604E-2</v>
      </c>
    </row>
    <row r="162" spans="1:15" ht="1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6"/>
      <c r="L162" s="24"/>
      <c r="M162" s="23"/>
      <c r="N162" s="24"/>
      <c r="O162" s="4"/>
    </row>
  </sheetData>
  <mergeCells count="14">
    <mergeCell ref="F4:F5"/>
    <mergeCell ref="G4:I4"/>
    <mergeCell ref="J4:L4"/>
    <mergeCell ref="A4:A5"/>
    <mergeCell ref="B4:B5"/>
    <mergeCell ref="C4:C5"/>
    <mergeCell ref="D4:D5"/>
    <mergeCell ref="E4:E5"/>
    <mergeCell ref="M4:O4"/>
    <mergeCell ref="H161:I161"/>
    <mergeCell ref="J161:K161"/>
    <mergeCell ref="M161:N161"/>
    <mergeCell ref="K2:L2"/>
    <mergeCell ref="N2:O2"/>
  </mergeCells>
  <printOptions horizontalCentered="1"/>
  <pageMargins left="0.51181102362204722" right="0.51181102362204722" top="1.1811023622047245" bottom="0.39370078740157483" header="0.19685039370078741" footer="0"/>
  <pageSetup paperSize="9" scale="81" fitToHeight="0" orientation="landscape" r:id="rId1"/>
  <headerFooter>
    <oddHeader>&amp;C&amp;G</oddHeader>
  </headerFooter>
  <colBreaks count="1" manualBreakCount="1">
    <brk id="15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4"/>
  <sheetViews>
    <sheetView topLeftCell="E1" workbookViewId="0">
      <selection activeCell="K35" sqref="K35"/>
    </sheetView>
  </sheetViews>
  <sheetFormatPr defaultRowHeight="15"/>
  <cols>
    <col min="1" max="2" width="8.7109375" customWidth="1"/>
    <col min="3" max="3" width="8.7109375" hidden="1" customWidth="1"/>
    <col min="4" max="6" width="7.7109375" customWidth="1"/>
    <col min="10" max="11" width="9.7109375" customWidth="1"/>
    <col min="12" max="12" width="11.42578125" customWidth="1"/>
    <col min="13" max="13" width="9.7109375" customWidth="1"/>
    <col min="14" max="14" width="10.7109375" customWidth="1"/>
    <col min="15" max="15" width="60.28515625" customWidth="1"/>
  </cols>
  <sheetData>
    <row r="1" spans="1:19" ht="21">
      <c r="B1" s="442" t="s">
        <v>418</v>
      </c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</row>
    <row r="2" spans="1:19">
      <c r="A2" s="443" t="s">
        <v>348</v>
      </c>
      <c r="B2" s="443" t="s">
        <v>347</v>
      </c>
      <c r="C2" s="443" t="s">
        <v>349</v>
      </c>
      <c r="D2" s="444" t="s">
        <v>353</v>
      </c>
      <c r="E2" s="444"/>
      <c r="F2" s="444"/>
      <c r="G2" s="444" t="s">
        <v>350</v>
      </c>
      <c r="H2" s="444"/>
      <c r="I2" s="444"/>
      <c r="J2" s="441" t="s">
        <v>386</v>
      </c>
      <c r="K2" s="441" t="s">
        <v>358</v>
      </c>
      <c r="L2" s="441" t="s">
        <v>388</v>
      </c>
      <c r="M2" s="441" t="s">
        <v>351</v>
      </c>
      <c r="N2" s="441" t="s">
        <v>352</v>
      </c>
      <c r="O2" s="443" t="s">
        <v>357</v>
      </c>
    </row>
    <row r="3" spans="1:19">
      <c r="A3" s="443"/>
      <c r="B3" s="443"/>
      <c r="C3" s="443"/>
      <c r="D3" s="443">
        <v>8</v>
      </c>
      <c r="E3" s="443">
        <v>10</v>
      </c>
      <c r="F3" s="443" t="s">
        <v>354</v>
      </c>
      <c r="G3" s="444" t="s">
        <v>355</v>
      </c>
      <c r="H3" s="444"/>
      <c r="I3" s="445" t="s">
        <v>356</v>
      </c>
      <c r="J3" s="441"/>
      <c r="K3" s="441"/>
      <c r="L3" s="441"/>
      <c r="M3" s="441"/>
      <c r="N3" s="441"/>
      <c r="O3" s="443"/>
    </row>
    <row r="4" spans="1:19">
      <c r="A4" s="443"/>
      <c r="B4" s="443"/>
      <c r="C4" s="443"/>
      <c r="D4" s="443"/>
      <c r="E4" s="443"/>
      <c r="F4" s="443"/>
      <c r="G4" s="100">
        <v>100</v>
      </c>
      <c r="H4" s="100">
        <v>600</v>
      </c>
      <c r="I4" s="446"/>
      <c r="J4" s="441"/>
      <c r="K4" s="441"/>
      <c r="L4" s="441"/>
      <c r="M4" s="441"/>
      <c r="N4" s="441"/>
      <c r="O4" s="443"/>
    </row>
    <row r="5" spans="1:19">
      <c r="A5" s="100"/>
      <c r="B5" s="100">
        <v>1</v>
      </c>
      <c r="C5" s="100"/>
      <c r="D5" s="100">
        <v>10</v>
      </c>
      <c r="E5" s="100"/>
      <c r="F5" s="100">
        <v>24</v>
      </c>
      <c r="G5" s="100"/>
      <c r="H5" s="100"/>
      <c r="I5" s="100"/>
      <c r="J5" s="101">
        <f>((8*D5)+(36*F5))</f>
        <v>944</v>
      </c>
      <c r="K5" s="101">
        <f>J5/0.7</f>
        <v>1348.5714285714287</v>
      </c>
      <c r="L5" s="101">
        <f>K5/220</f>
        <v>6.1298701298701301</v>
      </c>
      <c r="M5" s="100">
        <v>2.5</v>
      </c>
      <c r="N5" s="100">
        <v>16</v>
      </c>
      <c r="O5" s="102" t="s">
        <v>359</v>
      </c>
      <c r="P5" s="1"/>
      <c r="Q5" s="1">
        <v>14</v>
      </c>
      <c r="R5">
        <v>9</v>
      </c>
      <c r="S5">
        <v>6</v>
      </c>
    </row>
    <row r="6" spans="1:19">
      <c r="A6" s="100"/>
      <c r="B6" s="100">
        <v>2</v>
      </c>
      <c r="C6" s="100"/>
      <c r="D6" s="100">
        <v>4</v>
      </c>
      <c r="E6" s="100"/>
      <c r="F6" s="100">
        <v>23</v>
      </c>
      <c r="G6" s="100"/>
      <c r="H6" s="100"/>
      <c r="I6" s="100"/>
      <c r="J6" s="101">
        <f>((8*D6)+(36*F6))</f>
        <v>860</v>
      </c>
      <c r="K6" s="101">
        <f>J6/0.7</f>
        <v>1228.5714285714287</v>
      </c>
      <c r="L6" s="101">
        <f t="shared" ref="L6:L49" si="0">K6/220</f>
        <v>5.5844155844155852</v>
      </c>
      <c r="M6" s="100">
        <v>2.5</v>
      </c>
      <c r="N6" s="100">
        <v>16</v>
      </c>
      <c r="O6" s="102" t="s">
        <v>360</v>
      </c>
      <c r="P6" s="1"/>
      <c r="Q6" s="1">
        <f>(4/($Q$5*L6))*1000</f>
        <v>51.162790697674417</v>
      </c>
      <c r="R6" s="96">
        <f>(4/($R$5*L6))*1000</f>
        <v>79.586563307493535</v>
      </c>
      <c r="S6" s="96">
        <f>(4/($S$5*L6))*1000</f>
        <v>119.37984496124029</v>
      </c>
    </row>
    <row r="7" spans="1:19">
      <c r="A7" s="100"/>
      <c r="B7" s="100">
        <v>3</v>
      </c>
      <c r="C7" s="100"/>
      <c r="D7" s="100"/>
      <c r="E7" s="100">
        <v>8</v>
      </c>
      <c r="F7" s="100">
        <v>16</v>
      </c>
      <c r="G7" s="100"/>
      <c r="H7" s="100"/>
      <c r="I7" s="100"/>
      <c r="J7" s="101">
        <f>((10*E7)+(36*F7))</f>
        <v>656</v>
      </c>
      <c r="K7" s="101">
        <f>J7/0.7</f>
        <v>937.14285714285722</v>
      </c>
      <c r="L7" s="101">
        <f t="shared" si="0"/>
        <v>4.2597402597402603</v>
      </c>
      <c r="M7" s="100">
        <v>2.5</v>
      </c>
      <c r="N7" s="100">
        <v>16</v>
      </c>
      <c r="O7" s="102" t="s">
        <v>382</v>
      </c>
      <c r="P7" s="1"/>
      <c r="Q7" s="96">
        <f t="shared" ref="Q7:Q17" si="1">(4/($Q$5*L7))*1000</f>
        <v>67.073170731707307</v>
      </c>
      <c r="R7" s="96">
        <f t="shared" ref="R7:R17" si="2">(4/($R$5*L7))*1000</f>
        <v>104.33604336043359</v>
      </c>
      <c r="S7" s="96">
        <f t="shared" ref="S7:S17" si="3">(4/($S$5*L7))*1000</f>
        <v>156.5040650406504</v>
      </c>
    </row>
    <row r="8" spans="1:19">
      <c r="A8" s="100"/>
      <c r="B8" s="100">
        <v>4</v>
      </c>
      <c r="C8" s="100"/>
      <c r="D8" s="100"/>
      <c r="E8" s="100"/>
      <c r="F8" s="100"/>
      <c r="G8" s="100">
        <v>29</v>
      </c>
      <c r="H8" s="100"/>
      <c r="I8" s="100"/>
      <c r="J8" s="101">
        <f>($G$4*G8)+($H$4*H8)</f>
        <v>2900</v>
      </c>
      <c r="K8" s="101">
        <f>J8/0.9</f>
        <v>3222.2222222222222</v>
      </c>
      <c r="L8" s="101">
        <f t="shared" si="0"/>
        <v>14.646464646464647</v>
      </c>
      <c r="M8" s="100">
        <v>6</v>
      </c>
      <c r="N8" s="100">
        <v>20</v>
      </c>
      <c r="O8" s="102" t="s">
        <v>361</v>
      </c>
      <c r="P8" s="1"/>
      <c r="Q8" s="96">
        <f t="shared" si="1"/>
        <v>19.507389162561577</v>
      </c>
      <c r="R8" s="96">
        <f t="shared" si="2"/>
        <v>30.344827586206897</v>
      </c>
      <c r="S8" s="96">
        <f t="shared" si="3"/>
        <v>45.517241379310349</v>
      </c>
    </row>
    <row r="9" spans="1:19">
      <c r="A9" s="100"/>
      <c r="B9" s="100">
        <v>5</v>
      </c>
      <c r="C9" s="100"/>
      <c r="D9" s="100"/>
      <c r="E9" s="100"/>
      <c r="F9" s="100"/>
      <c r="G9" s="100">
        <v>26</v>
      </c>
      <c r="H9" s="100"/>
      <c r="I9" s="100"/>
      <c r="J9" s="101">
        <f t="shared" ref="J9:J16" si="4">($G$4*G9)+($H$4*H9)</f>
        <v>2600</v>
      </c>
      <c r="K9" s="101">
        <f t="shared" ref="K9:K17" si="5">J9/0.9</f>
        <v>2888.8888888888887</v>
      </c>
      <c r="L9" s="101">
        <f t="shared" si="0"/>
        <v>13.13131313131313</v>
      </c>
      <c r="M9" s="100">
        <v>6</v>
      </c>
      <c r="N9" s="100">
        <v>20</v>
      </c>
      <c r="O9" s="102" t="s">
        <v>362</v>
      </c>
      <c r="P9" s="1"/>
      <c r="Q9" s="96">
        <f t="shared" si="1"/>
        <v>21.758241758241763</v>
      </c>
      <c r="R9" s="96">
        <f t="shared" si="2"/>
        <v>33.846153846153854</v>
      </c>
      <c r="S9" s="96">
        <f t="shared" si="3"/>
        <v>50.769230769230774</v>
      </c>
    </row>
    <row r="10" spans="1:19">
      <c r="A10" s="100"/>
      <c r="B10" s="100">
        <v>6</v>
      </c>
      <c r="C10" s="100"/>
      <c r="D10" s="100"/>
      <c r="E10" s="100"/>
      <c r="F10" s="100"/>
      <c r="G10" s="100">
        <v>14</v>
      </c>
      <c r="H10" s="100">
        <v>1</v>
      </c>
      <c r="I10" s="100"/>
      <c r="J10" s="101">
        <f t="shared" si="4"/>
        <v>2000</v>
      </c>
      <c r="K10" s="101">
        <f t="shared" si="5"/>
        <v>2222.2222222222222</v>
      </c>
      <c r="L10" s="101">
        <f t="shared" si="0"/>
        <v>10.1010101010101</v>
      </c>
      <c r="M10" s="100">
        <v>4</v>
      </c>
      <c r="N10" s="100">
        <v>16</v>
      </c>
      <c r="O10" s="102" t="s">
        <v>363</v>
      </c>
      <c r="P10" s="1"/>
      <c r="Q10" s="96">
        <f t="shared" si="1"/>
        <v>28.285714285714288</v>
      </c>
      <c r="R10" s="96">
        <f t="shared" si="2"/>
        <v>44.000000000000007</v>
      </c>
      <c r="S10" s="96">
        <f t="shared" si="3"/>
        <v>66</v>
      </c>
    </row>
    <row r="11" spans="1:19">
      <c r="A11" s="100"/>
      <c r="B11" s="100">
        <v>7</v>
      </c>
      <c r="C11" s="100"/>
      <c r="D11" s="100"/>
      <c r="E11" s="100"/>
      <c r="F11" s="100"/>
      <c r="G11" s="100">
        <v>19</v>
      </c>
      <c r="H11" s="100"/>
      <c r="I11" s="100"/>
      <c r="J11" s="101">
        <f t="shared" si="4"/>
        <v>1900</v>
      </c>
      <c r="K11" s="101">
        <f t="shared" si="5"/>
        <v>2111.1111111111109</v>
      </c>
      <c r="L11" s="101">
        <f t="shared" si="0"/>
        <v>9.5959595959595951</v>
      </c>
      <c r="M11" s="100">
        <v>4</v>
      </c>
      <c r="N11" s="100">
        <v>16</v>
      </c>
      <c r="O11" s="102" t="s">
        <v>364</v>
      </c>
      <c r="P11" s="1"/>
      <c r="Q11" s="96">
        <f t="shared" si="1"/>
        <v>29.774436090225567</v>
      </c>
      <c r="R11" s="96">
        <f t="shared" si="2"/>
        <v>46.315789473684212</v>
      </c>
      <c r="S11" s="96">
        <f t="shared" si="3"/>
        <v>69.473684210526329</v>
      </c>
    </row>
    <row r="12" spans="1:19">
      <c r="A12" s="100"/>
      <c r="B12" s="100">
        <v>8</v>
      </c>
      <c r="C12" s="100"/>
      <c r="D12" s="100"/>
      <c r="E12" s="100"/>
      <c r="F12" s="100"/>
      <c r="G12" s="100">
        <v>9</v>
      </c>
      <c r="H12" s="100">
        <v>3</v>
      </c>
      <c r="I12" s="100"/>
      <c r="J12" s="101">
        <f t="shared" si="4"/>
        <v>2700</v>
      </c>
      <c r="K12" s="101">
        <f t="shared" si="5"/>
        <v>3000</v>
      </c>
      <c r="L12" s="101">
        <f t="shared" si="0"/>
        <v>13.636363636363637</v>
      </c>
      <c r="M12" s="100">
        <v>4</v>
      </c>
      <c r="N12" s="100">
        <v>20</v>
      </c>
      <c r="O12" s="102" t="s">
        <v>365</v>
      </c>
      <c r="P12" s="1"/>
      <c r="Q12" s="96">
        <f t="shared" si="1"/>
        <v>20.952380952380953</v>
      </c>
      <c r="R12" s="96">
        <f t="shared" si="2"/>
        <v>32.592592592592588</v>
      </c>
      <c r="S12" s="96">
        <f t="shared" si="3"/>
        <v>48.888888888888893</v>
      </c>
    </row>
    <row r="13" spans="1:19">
      <c r="A13" s="100"/>
      <c r="B13" s="100">
        <v>9</v>
      </c>
      <c r="C13" s="100"/>
      <c r="D13" s="100"/>
      <c r="E13" s="100"/>
      <c r="F13" s="100"/>
      <c r="G13" s="100">
        <v>14</v>
      </c>
      <c r="H13" s="100">
        <v>1</v>
      </c>
      <c r="I13" s="100"/>
      <c r="J13" s="101">
        <f t="shared" si="4"/>
        <v>2000</v>
      </c>
      <c r="K13" s="101">
        <f t="shared" si="5"/>
        <v>2222.2222222222222</v>
      </c>
      <c r="L13" s="101">
        <f t="shared" si="0"/>
        <v>10.1010101010101</v>
      </c>
      <c r="M13" s="100">
        <v>2.5</v>
      </c>
      <c r="N13" s="100">
        <v>16</v>
      </c>
      <c r="O13" s="102" t="s">
        <v>366</v>
      </c>
      <c r="P13" s="1"/>
      <c r="Q13" s="96">
        <f t="shared" si="1"/>
        <v>28.285714285714288</v>
      </c>
      <c r="R13" s="96">
        <f t="shared" si="2"/>
        <v>44.000000000000007</v>
      </c>
      <c r="S13" s="96">
        <f t="shared" si="3"/>
        <v>66</v>
      </c>
    </row>
    <row r="14" spans="1:19">
      <c r="A14" s="100"/>
      <c r="B14" s="100">
        <v>10</v>
      </c>
      <c r="C14" s="100"/>
      <c r="D14" s="100"/>
      <c r="E14" s="100"/>
      <c r="F14" s="100"/>
      <c r="G14" s="100">
        <v>5</v>
      </c>
      <c r="H14" s="100">
        <v>3</v>
      </c>
      <c r="I14" s="100"/>
      <c r="J14" s="101">
        <f t="shared" si="4"/>
        <v>2300</v>
      </c>
      <c r="K14" s="101">
        <f t="shared" si="5"/>
        <v>2555.5555555555557</v>
      </c>
      <c r="L14" s="101">
        <f t="shared" si="0"/>
        <v>11.616161616161616</v>
      </c>
      <c r="M14" s="100">
        <v>2.5</v>
      </c>
      <c r="N14" s="100">
        <v>16</v>
      </c>
      <c r="O14" s="102" t="s">
        <v>367</v>
      </c>
      <c r="P14" s="1"/>
      <c r="Q14" s="96">
        <f t="shared" si="1"/>
        <v>24.596273291925467</v>
      </c>
      <c r="R14" s="96">
        <f t="shared" si="2"/>
        <v>38.260869565217391</v>
      </c>
      <c r="S14" s="96">
        <f t="shared" si="3"/>
        <v>57.391304347826093</v>
      </c>
    </row>
    <row r="15" spans="1:19">
      <c r="A15" s="100"/>
      <c r="B15" s="100">
        <v>11</v>
      </c>
      <c r="C15" s="100"/>
      <c r="D15" s="100"/>
      <c r="E15" s="100"/>
      <c r="F15" s="100"/>
      <c r="G15" s="100">
        <v>24</v>
      </c>
      <c r="H15" s="100"/>
      <c r="I15" s="100"/>
      <c r="J15" s="101">
        <f t="shared" si="4"/>
        <v>2400</v>
      </c>
      <c r="K15" s="101">
        <f t="shared" si="5"/>
        <v>2666.6666666666665</v>
      </c>
      <c r="L15" s="101">
        <f t="shared" si="0"/>
        <v>12.121212121212121</v>
      </c>
      <c r="M15" s="100">
        <v>2.5</v>
      </c>
      <c r="N15" s="100">
        <v>16</v>
      </c>
      <c r="O15" s="102" t="s">
        <v>368</v>
      </c>
      <c r="P15" s="1"/>
      <c r="Q15" s="96">
        <f t="shared" si="1"/>
        <v>23.571428571428573</v>
      </c>
      <c r="R15" s="96">
        <f t="shared" si="2"/>
        <v>36.666666666666664</v>
      </c>
      <c r="S15" s="96">
        <f t="shared" si="3"/>
        <v>55.000000000000007</v>
      </c>
    </row>
    <row r="16" spans="1:19">
      <c r="A16" s="100"/>
      <c r="B16" s="100">
        <v>12</v>
      </c>
      <c r="C16" s="100"/>
      <c r="D16" s="100"/>
      <c r="E16" s="100"/>
      <c r="F16" s="100"/>
      <c r="G16" s="100">
        <v>28</v>
      </c>
      <c r="H16" s="100"/>
      <c r="I16" s="100"/>
      <c r="J16" s="101">
        <f t="shared" si="4"/>
        <v>2800</v>
      </c>
      <c r="K16" s="101">
        <f t="shared" si="5"/>
        <v>3111.1111111111109</v>
      </c>
      <c r="L16" s="101">
        <f t="shared" si="0"/>
        <v>14.14141414141414</v>
      </c>
      <c r="M16" s="100">
        <v>4</v>
      </c>
      <c r="N16" s="100">
        <v>20</v>
      </c>
      <c r="O16" s="102" t="s">
        <v>369</v>
      </c>
      <c r="P16" s="1"/>
      <c r="Q16" s="96">
        <f t="shared" si="1"/>
        <v>20.204081632653065</v>
      </c>
      <c r="R16" s="96">
        <f t="shared" si="2"/>
        <v>31.428571428571431</v>
      </c>
      <c r="S16" s="96">
        <f t="shared" si="3"/>
        <v>47.142857142857146</v>
      </c>
    </row>
    <row r="17" spans="1:26">
      <c r="A17" s="100"/>
      <c r="B17" s="100">
        <v>13</v>
      </c>
      <c r="C17" s="100"/>
      <c r="D17" s="100"/>
      <c r="E17" s="100"/>
      <c r="F17" s="100"/>
      <c r="G17" s="100">
        <v>4</v>
      </c>
      <c r="H17" s="100">
        <v>2</v>
      </c>
      <c r="I17" s="100"/>
      <c r="J17" s="101">
        <f>($G$4*G17)+($H$4*H17)</f>
        <v>1600</v>
      </c>
      <c r="K17" s="101">
        <f t="shared" si="5"/>
        <v>1777.7777777777778</v>
      </c>
      <c r="L17" s="101">
        <f t="shared" si="0"/>
        <v>8.0808080808080813</v>
      </c>
      <c r="M17" s="100">
        <v>4</v>
      </c>
      <c r="N17" s="100">
        <v>16</v>
      </c>
      <c r="O17" s="102" t="s">
        <v>370</v>
      </c>
      <c r="P17" s="1"/>
      <c r="Q17" s="96">
        <f t="shared" si="1"/>
        <v>35.357142857142861</v>
      </c>
      <c r="R17" s="96">
        <f t="shared" si="2"/>
        <v>54.999999999999993</v>
      </c>
      <c r="S17" s="96">
        <f t="shared" si="3"/>
        <v>82.5</v>
      </c>
    </row>
    <row r="18" spans="1:26">
      <c r="A18" s="100"/>
      <c r="B18" s="110">
        <v>14</v>
      </c>
      <c r="C18" s="110"/>
      <c r="D18" s="110"/>
      <c r="E18" s="110"/>
      <c r="F18" s="110"/>
      <c r="G18" s="110"/>
      <c r="H18" s="110"/>
      <c r="I18" s="110">
        <v>5500</v>
      </c>
      <c r="J18" s="111">
        <f>I18</f>
        <v>5500</v>
      </c>
      <c r="K18" s="111">
        <f>J18</f>
        <v>5500</v>
      </c>
      <c r="L18" s="101">
        <f t="shared" si="0"/>
        <v>25</v>
      </c>
      <c r="M18" s="110">
        <v>6</v>
      </c>
      <c r="N18" s="100">
        <v>40</v>
      </c>
      <c r="O18" s="112" t="s">
        <v>371</v>
      </c>
      <c r="P18" s="1"/>
      <c r="Q18" s="96">
        <f>(4/($Q$5*L18))*1000</f>
        <v>11.428571428571429</v>
      </c>
      <c r="R18" s="96">
        <f>(4/($R$5*L18))*1000</f>
        <v>17.777777777777779</v>
      </c>
      <c r="S18" s="96">
        <f>(4/($S$5*L18))*1000</f>
        <v>26.666666666666668</v>
      </c>
    </row>
    <row r="19" spans="1:26">
      <c r="A19" s="100"/>
      <c r="B19" s="110">
        <v>15</v>
      </c>
      <c r="C19" s="110"/>
      <c r="D19" s="110"/>
      <c r="E19" s="110"/>
      <c r="F19" s="110"/>
      <c r="G19" s="110"/>
      <c r="H19" s="110"/>
      <c r="I19" s="110">
        <v>4000</v>
      </c>
      <c r="J19" s="111">
        <f t="shared" ref="J19:J49" si="6">I19</f>
        <v>4000</v>
      </c>
      <c r="K19" s="111">
        <f>J19</f>
        <v>4000</v>
      </c>
      <c r="L19" s="101">
        <f t="shared" si="0"/>
        <v>18.181818181818183</v>
      </c>
      <c r="M19" s="110">
        <v>6</v>
      </c>
      <c r="N19" s="100">
        <v>25</v>
      </c>
      <c r="O19" s="112" t="s">
        <v>372</v>
      </c>
      <c r="P19" s="1"/>
      <c r="Q19" s="96">
        <f>(4/($Q$5*L19))*1000</f>
        <v>15.714285714285712</v>
      </c>
      <c r="R19" s="96">
        <f>(4/($R$5*L19))*1000</f>
        <v>24.444444444444443</v>
      </c>
      <c r="S19" s="96">
        <f>(4/($S$5*L19))*1000</f>
        <v>36.666666666666664</v>
      </c>
    </row>
    <row r="20" spans="1:26">
      <c r="A20" s="100"/>
      <c r="B20" s="110">
        <v>16</v>
      </c>
      <c r="C20" s="110"/>
      <c r="D20" s="110"/>
      <c r="E20" s="110"/>
      <c r="F20" s="110"/>
      <c r="G20" s="110"/>
      <c r="H20" s="110"/>
      <c r="I20" s="110">
        <v>5500</v>
      </c>
      <c r="J20" s="111">
        <f t="shared" si="6"/>
        <v>5500</v>
      </c>
      <c r="K20" s="111">
        <f>J20</f>
        <v>5500</v>
      </c>
      <c r="L20" s="101">
        <f t="shared" si="0"/>
        <v>25</v>
      </c>
      <c r="M20" s="110">
        <v>6</v>
      </c>
      <c r="N20" s="100">
        <v>40</v>
      </c>
      <c r="O20" s="112" t="s">
        <v>373</v>
      </c>
      <c r="P20" s="1"/>
      <c r="Q20" s="96">
        <f>(4/($Q$5*L20))*1000</f>
        <v>11.428571428571429</v>
      </c>
      <c r="R20" s="96">
        <f>(4/($R$5*L20))*1000</f>
        <v>17.777777777777779</v>
      </c>
      <c r="S20" s="96">
        <f>(4/($S$5*L20))*1000</f>
        <v>26.666666666666668</v>
      </c>
    </row>
    <row r="21" spans="1:26">
      <c r="A21" s="100"/>
      <c r="B21" s="110">
        <v>17</v>
      </c>
      <c r="C21" s="110"/>
      <c r="D21" s="110"/>
      <c r="E21" s="110"/>
      <c r="F21" s="110"/>
      <c r="G21" s="110"/>
      <c r="H21" s="110"/>
      <c r="I21" s="110">
        <v>5500</v>
      </c>
      <c r="J21" s="111">
        <f t="shared" si="6"/>
        <v>5500</v>
      </c>
      <c r="K21" s="111">
        <f>J21</f>
        <v>5500</v>
      </c>
      <c r="L21" s="101">
        <f t="shared" si="0"/>
        <v>25</v>
      </c>
      <c r="M21" s="110">
        <v>6</v>
      </c>
      <c r="N21" s="100">
        <v>40</v>
      </c>
      <c r="O21" s="112" t="s">
        <v>374</v>
      </c>
      <c r="P21" s="1"/>
      <c r="Q21" s="96">
        <f>(4/($Q$5*L21))*1000</f>
        <v>11.428571428571429</v>
      </c>
      <c r="R21" s="96">
        <f>(4/($R$5*L21))*1000</f>
        <v>17.777777777777779</v>
      </c>
      <c r="S21" s="96">
        <f>(4/($S$5*L21))*1000</f>
        <v>26.666666666666668</v>
      </c>
    </row>
    <row r="22" spans="1:26">
      <c r="A22" s="107"/>
      <c r="B22" s="107">
        <v>18</v>
      </c>
      <c r="C22" s="107"/>
      <c r="D22" s="107"/>
      <c r="E22" s="107"/>
      <c r="F22" s="107"/>
      <c r="G22" s="107"/>
      <c r="H22" s="107"/>
      <c r="I22" s="107"/>
      <c r="J22" s="108"/>
      <c r="K22" s="108"/>
      <c r="L22" s="108"/>
      <c r="M22" s="107"/>
      <c r="N22" s="107"/>
      <c r="O22" s="109" t="s">
        <v>375</v>
      </c>
      <c r="P22" s="1"/>
      <c r="Q22" s="96"/>
      <c r="R22" s="96"/>
      <c r="S22" s="96"/>
    </row>
    <row r="23" spans="1:26">
      <c r="A23" s="100"/>
      <c r="B23" s="100">
        <v>19</v>
      </c>
      <c r="C23" s="100"/>
      <c r="D23" s="100"/>
      <c r="E23" s="100"/>
      <c r="F23" s="100"/>
      <c r="G23" s="100"/>
      <c r="H23" s="100"/>
      <c r="I23" s="100">
        <v>840</v>
      </c>
      <c r="J23" s="101">
        <f t="shared" si="6"/>
        <v>840</v>
      </c>
      <c r="K23" s="101">
        <f>J23/0.9</f>
        <v>933.33333333333326</v>
      </c>
      <c r="L23" s="101">
        <f t="shared" si="0"/>
        <v>4.2424242424242422</v>
      </c>
      <c r="M23" s="100">
        <v>4</v>
      </c>
      <c r="N23" s="100">
        <v>16</v>
      </c>
      <c r="O23" s="102" t="s">
        <v>376</v>
      </c>
      <c r="P23" s="1"/>
      <c r="Q23" s="96">
        <f>(4/($Q$5*L23))*1000</f>
        <v>67.34693877551021</v>
      </c>
      <c r="R23" s="96">
        <f>(4/($R$5*L23))*1000</f>
        <v>104.76190476190476</v>
      </c>
      <c r="S23" s="96">
        <f>(4/($S$5*L23))*1000</f>
        <v>157.14285714285714</v>
      </c>
    </row>
    <row r="24" spans="1:26">
      <c r="A24" s="110"/>
      <c r="B24" s="110">
        <v>20</v>
      </c>
      <c r="C24" s="110"/>
      <c r="D24" s="110"/>
      <c r="E24" s="110"/>
      <c r="F24" s="110"/>
      <c r="G24" s="110"/>
      <c r="H24" s="110"/>
      <c r="I24" s="110">
        <v>840</v>
      </c>
      <c r="J24" s="111">
        <f t="shared" si="6"/>
        <v>840</v>
      </c>
      <c r="K24" s="101">
        <f>J24/0.9</f>
        <v>933.33333333333326</v>
      </c>
      <c r="L24" s="101">
        <f>K24/220</f>
        <v>4.2424242424242422</v>
      </c>
      <c r="M24" s="106">
        <v>4</v>
      </c>
      <c r="N24" s="106">
        <v>16</v>
      </c>
      <c r="O24" s="112" t="s">
        <v>377</v>
      </c>
      <c r="P24" s="1"/>
      <c r="Q24" s="96"/>
      <c r="R24" s="96"/>
      <c r="S24" s="96"/>
    </row>
    <row r="25" spans="1:26">
      <c r="A25" s="100"/>
      <c r="B25" s="100">
        <v>21</v>
      </c>
      <c r="C25" s="100"/>
      <c r="D25" s="100"/>
      <c r="E25" s="100"/>
      <c r="F25" s="100"/>
      <c r="G25" s="100"/>
      <c r="H25" s="100"/>
      <c r="I25" s="100">
        <v>400</v>
      </c>
      <c r="J25" s="101">
        <f>I25</f>
        <v>400</v>
      </c>
      <c r="K25" s="101">
        <f>J25/0.9</f>
        <v>444.44444444444446</v>
      </c>
      <c r="L25" s="101">
        <f t="shared" si="0"/>
        <v>2.0202020202020203</v>
      </c>
      <c r="M25" s="100">
        <v>2.5</v>
      </c>
      <c r="N25" s="100">
        <v>16</v>
      </c>
      <c r="O25" s="102" t="s">
        <v>378</v>
      </c>
      <c r="P25" s="1"/>
      <c r="Q25" s="96">
        <f t="shared" ref="Q25:Q37" si="7">(4/($Q$5*L25))*1000</f>
        <v>141.42857142857144</v>
      </c>
      <c r="R25" s="96">
        <f t="shared" ref="R25:R37" si="8">(4/($R$5*L25))*1000</f>
        <v>219.99999999999997</v>
      </c>
      <c r="S25" s="96">
        <f t="shared" ref="S25:S37" si="9">(4/($S$5*L25))*1000</f>
        <v>330</v>
      </c>
    </row>
    <row r="26" spans="1:26">
      <c r="A26" s="100"/>
      <c r="B26" s="100">
        <v>22</v>
      </c>
      <c r="C26" s="100"/>
      <c r="D26" s="100"/>
      <c r="E26" s="100"/>
      <c r="F26" s="100"/>
      <c r="G26" s="100"/>
      <c r="H26" s="100"/>
      <c r="I26" s="100">
        <v>900</v>
      </c>
      <c r="J26" s="101">
        <f t="shared" si="6"/>
        <v>900</v>
      </c>
      <c r="K26" s="101">
        <f>J26/0.8</f>
        <v>1125</v>
      </c>
      <c r="L26" s="101">
        <f t="shared" si="0"/>
        <v>5.1136363636363633</v>
      </c>
      <c r="M26" s="100">
        <v>2.5</v>
      </c>
      <c r="N26" s="100">
        <v>16</v>
      </c>
      <c r="O26" s="102" t="s">
        <v>417</v>
      </c>
      <c r="P26" s="1"/>
      <c r="Q26" s="96">
        <f t="shared" si="7"/>
        <v>55.873015873015873</v>
      </c>
      <c r="R26" s="96">
        <f t="shared" si="8"/>
        <v>86.913580246913597</v>
      </c>
      <c r="S26" s="96">
        <f t="shared" si="9"/>
        <v>130.37037037037038</v>
      </c>
      <c r="V26" s="1">
        <v>9000</v>
      </c>
      <c r="W26">
        <v>1400</v>
      </c>
      <c r="X26">
        <v>800</v>
      </c>
      <c r="Y26">
        <f>X26/0.8</f>
        <v>1000</v>
      </c>
      <c r="Z26" t="s">
        <v>384</v>
      </c>
    </row>
    <row r="27" spans="1:26">
      <c r="A27" s="100"/>
      <c r="B27" s="100">
        <v>23</v>
      </c>
      <c r="C27" s="100"/>
      <c r="D27" s="100"/>
      <c r="E27" s="100"/>
      <c r="F27" s="100"/>
      <c r="G27" s="100"/>
      <c r="H27" s="100"/>
      <c r="I27" s="100">
        <v>900</v>
      </c>
      <c r="J27" s="101">
        <f t="shared" si="6"/>
        <v>900</v>
      </c>
      <c r="K27" s="101">
        <f t="shared" ref="K27:K47" si="10">J27/0.8</f>
        <v>1125</v>
      </c>
      <c r="L27" s="101">
        <f t="shared" si="0"/>
        <v>5.1136363636363633</v>
      </c>
      <c r="M27" s="100">
        <v>2.5</v>
      </c>
      <c r="N27" s="100">
        <v>16</v>
      </c>
      <c r="O27" s="102" t="s">
        <v>416</v>
      </c>
      <c r="P27" s="1"/>
      <c r="Q27" s="96">
        <f t="shared" si="7"/>
        <v>55.873015873015873</v>
      </c>
      <c r="R27" s="96">
        <f t="shared" si="8"/>
        <v>86.913580246913597</v>
      </c>
      <c r="S27" s="96">
        <f t="shared" si="9"/>
        <v>130.37037037037038</v>
      </c>
      <c r="V27" s="96">
        <v>9000</v>
      </c>
    </row>
    <row r="28" spans="1:26">
      <c r="A28" s="100"/>
      <c r="B28" s="100">
        <v>24</v>
      </c>
      <c r="C28" s="100"/>
      <c r="D28" s="100"/>
      <c r="E28" s="100"/>
      <c r="F28" s="100"/>
      <c r="G28" s="100"/>
      <c r="H28" s="100"/>
      <c r="I28" s="100">
        <v>900</v>
      </c>
      <c r="J28" s="101">
        <f t="shared" si="6"/>
        <v>900</v>
      </c>
      <c r="K28" s="101">
        <f t="shared" si="10"/>
        <v>1125</v>
      </c>
      <c r="L28" s="101">
        <f t="shared" si="0"/>
        <v>5.1136363636363633</v>
      </c>
      <c r="M28" s="100">
        <v>2.5</v>
      </c>
      <c r="N28" s="100">
        <v>16</v>
      </c>
      <c r="O28" s="102" t="s">
        <v>415</v>
      </c>
      <c r="P28" s="1"/>
      <c r="Q28" s="96">
        <f t="shared" si="7"/>
        <v>55.873015873015873</v>
      </c>
      <c r="R28" s="96">
        <f t="shared" si="8"/>
        <v>86.913580246913597</v>
      </c>
      <c r="S28" s="96">
        <f t="shared" si="9"/>
        <v>130.37037037037038</v>
      </c>
      <c r="V28" s="96">
        <v>9000</v>
      </c>
    </row>
    <row r="29" spans="1:26">
      <c r="A29" s="100"/>
      <c r="B29" s="100">
        <v>25</v>
      </c>
      <c r="C29" s="100"/>
      <c r="D29" s="100"/>
      <c r="E29" s="100"/>
      <c r="F29" s="100"/>
      <c r="G29" s="100"/>
      <c r="H29" s="100"/>
      <c r="I29" s="100">
        <v>900</v>
      </c>
      <c r="J29" s="101">
        <f t="shared" si="6"/>
        <v>900</v>
      </c>
      <c r="K29" s="101">
        <f t="shared" si="10"/>
        <v>1125</v>
      </c>
      <c r="L29" s="101">
        <f t="shared" si="0"/>
        <v>5.1136363636363633</v>
      </c>
      <c r="M29" s="100">
        <v>2.5</v>
      </c>
      <c r="N29" s="100">
        <v>16</v>
      </c>
      <c r="O29" s="102" t="s">
        <v>414</v>
      </c>
      <c r="P29" s="1"/>
      <c r="Q29" s="96">
        <f t="shared" si="7"/>
        <v>55.873015873015873</v>
      </c>
      <c r="R29" s="96">
        <f t="shared" si="8"/>
        <v>86.913580246913597</v>
      </c>
      <c r="S29" s="96">
        <f t="shared" si="9"/>
        <v>130.37037037037038</v>
      </c>
      <c r="V29" s="96">
        <v>9000</v>
      </c>
    </row>
    <row r="30" spans="1:26">
      <c r="A30" s="100"/>
      <c r="B30" s="100">
        <v>26</v>
      </c>
      <c r="C30" s="100"/>
      <c r="D30" s="100"/>
      <c r="E30" s="100"/>
      <c r="F30" s="100"/>
      <c r="G30" s="100"/>
      <c r="H30" s="100"/>
      <c r="I30" s="100">
        <v>900</v>
      </c>
      <c r="J30" s="101">
        <f t="shared" si="6"/>
        <v>900</v>
      </c>
      <c r="K30" s="101">
        <f t="shared" si="10"/>
        <v>1125</v>
      </c>
      <c r="L30" s="101">
        <f t="shared" si="0"/>
        <v>5.1136363636363633</v>
      </c>
      <c r="M30" s="100">
        <v>2.5</v>
      </c>
      <c r="N30" s="100">
        <v>16</v>
      </c>
      <c r="O30" s="102" t="s">
        <v>413</v>
      </c>
      <c r="P30" s="1"/>
      <c r="Q30" s="96">
        <f t="shared" si="7"/>
        <v>55.873015873015873</v>
      </c>
      <c r="R30" s="96">
        <f t="shared" si="8"/>
        <v>86.913580246913597</v>
      </c>
      <c r="S30" s="96">
        <f t="shared" si="9"/>
        <v>130.37037037037038</v>
      </c>
      <c r="V30" s="96">
        <v>9000</v>
      </c>
    </row>
    <row r="31" spans="1:26">
      <c r="A31" s="100"/>
      <c r="B31" s="100">
        <v>27</v>
      </c>
      <c r="C31" s="100"/>
      <c r="D31" s="100"/>
      <c r="E31" s="100"/>
      <c r="F31" s="100"/>
      <c r="G31" s="100"/>
      <c r="H31" s="100"/>
      <c r="I31" s="100">
        <v>900</v>
      </c>
      <c r="J31" s="101">
        <f t="shared" si="6"/>
        <v>900</v>
      </c>
      <c r="K31" s="101">
        <f t="shared" si="10"/>
        <v>1125</v>
      </c>
      <c r="L31" s="101">
        <f t="shared" si="0"/>
        <v>5.1136363636363633</v>
      </c>
      <c r="M31" s="100">
        <v>2.5</v>
      </c>
      <c r="N31" s="100">
        <v>16</v>
      </c>
      <c r="O31" s="102" t="s">
        <v>412</v>
      </c>
      <c r="P31" s="1"/>
      <c r="Q31" s="96">
        <f t="shared" si="7"/>
        <v>55.873015873015873</v>
      </c>
      <c r="R31" s="96">
        <f t="shared" si="8"/>
        <v>86.913580246913597</v>
      </c>
      <c r="S31" s="96">
        <f t="shared" si="9"/>
        <v>130.37037037037038</v>
      </c>
      <c r="V31" s="96">
        <v>9000</v>
      </c>
    </row>
    <row r="32" spans="1:26">
      <c r="A32" s="100"/>
      <c r="B32" s="100">
        <v>28</v>
      </c>
      <c r="C32" s="100"/>
      <c r="D32" s="100"/>
      <c r="E32" s="100"/>
      <c r="F32" s="100"/>
      <c r="G32" s="100"/>
      <c r="H32" s="100"/>
      <c r="I32" s="100">
        <v>1100</v>
      </c>
      <c r="J32" s="101">
        <f t="shared" si="6"/>
        <v>1100</v>
      </c>
      <c r="K32" s="101">
        <f t="shared" si="10"/>
        <v>1375</v>
      </c>
      <c r="L32" s="101">
        <f t="shared" si="0"/>
        <v>6.25</v>
      </c>
      <c r="M32" s="100">
        <v>2.5</v>
      </c>
      <c r="N32" s="100">
        <v>16</v>
      </c>
      <c r="O32" s="102" t="s">
        <v>406</v>
      </c>
      <c r="P32" s="1"/>
      <c r="Q32" s="96">
        <f t="shared" si="7"/>
        <v>45.714285714285715</v>
      </c>
      <c r="R32" s="96">
        <f t="shared" si="8"/>
        <v>71.111111111111114</v>
      </c>
      <c r="S32" s="96">
        <f t="shared" si="9"/>
        <v>106.66666666666667</v>
      </c>
      <c r="V32" s="1">
        <v>12000</v>
      </c>
      <c r="W32">
        <v>1600</v>
      </c>
      <c r="X32">
        <v>1000</v>
      </c>
      <c r="Y32">
        <f>X32/0.8</f>
        <v>1250</v>
      </c>
      <c r="Z32" t="s">
        <v>385</v>
      </c>
    </row>
    <row r="33" spans="1:26">
      <c r="A33" s="100"/>
      <c r="B33" s="100">
        <v>29</v>
      </c>
      <c r="C33" s="100"/>
      <c r="D33" s="100"/>
      <c r="E33" s="100"/>
      <c r="F33" s="100"/>
      <c r="G33" s="100"/>
      <c r="H33" s="100"/>
      <c r="I33" s="100">
        <v>900</v>
      </c>
      <c r="J33" s="101">
        <f t="shared" si="6"/>
        <v>900</v>
      </c>
      <c r="K33" s="101">
        <f t="shared" si="10"/>
        <v>1125</v>
      </c>
      <c r="L33" s="101">
        <f t="shared" si="0"/>
        <v>5.1136363636363633</v>
      </c>
      <c r="M33" s="100">
        <v>2.5</v>
      </c>
      <c r="N33" s="100">
        <v>16</v>
      </c>
      <c r="O33" s="102" t="s">
        <v>411</v>
      </c>
      <c r="P33" s="1"/>
      <c r="Q33" s="96">
        <f t="shared" si="7"/>
        <v>55.873015873015873</v>
      </c>
      <c r="R33" s="96">
        <f t="shared" si="8"/>
        <v>86.913580246913597</v>
      </c>
      <c r="S33" s="96">
        <f t="shared" si="9"/>
        <v>130.37037037037038</v>
      </c>
      <c r="V33" s="1">
        <v>9000</v>
      </c>
    </row>
    <row r="34" spans="1:26">
      <c r="A34" s="100"/>
      <c r="B34" s="100">
        <v>30</v>
      </c>
      <c r="C34" s="100"/>
      <c r="D34" s="100"/>
      <c r="E34" s="100"/>
      <c r="F34" s="100"/>
      <c r="G34" s="100"/>
      <c r="H34" s="100"/>
      <c r="I34" s="100">
        <v>900</v>
      </c>
      <c r="J34" s="101">
        <f t="shared" si="6"/>
        <v>900</v>
      </c>
      <c r="K34" s="101">
        <f t="shared" si="10"/>
        <v>1125</v>
      </c>
      <c r="L34" s="101">
        <f t="shared" si="0"/>
        <v>5.1136363636363633</v>
      </c>
      <c r="M34" s="100">
        <v>2.5</v>
      </c>
      <c r="N34" s="100">
        <v>16</v>
      </c>
      <c r="O34" s="102" t="s">
        <v>410</v>
      </c>
      <c r="P34" s="1"/>
      <c r="Q34" s="96">
        <f t="shared" si="7"/>
        <v>55.873015873015873</v>
      </c>
      <c r="R34" s="96">
        <f t="shared" si="8"/>
        <v>86.913580246913597</v>
      </c>
      <c r="S34" s="96">
        <f t="shared" si="9"/>
        <v>130.37037037037038</v>
      </c>
      <c r="V34" s="1">
        <v>9000</v>
      </c>
    </row>
    <row r="35" spans="1:26">
      <c r="A35" s="100"/>
      <c r="B35" s="100">
        <v>31</v>
      </c>
      <c r="C35" s="100"/>
      <c r="D35" s="100"/>
      <c r="E35" s="100"/>
      <c r="F35" s="100"/>
      <c r="G35" s="100"/>
      <c r="H35" s="100"/>
      <c r="I35" s="100">
        <v>1700</v>
      </c>
      <c r="J35" s="101">
        <f t="shared" si="6"/>
        <v>1700</v>
      </c>
      <c r="K35" s="101">
        <f t="shared" si="10"/>
        <v>2125</v>
      </c>
      <c r="L35" s="101">
        <f t="shared" si="0"/>
        <v>9.6590909090909083</v>
      </c>
      <c r="M35" s="100">
        <v>4</v>
      </c>
      <c r="N35" s="100">
        <v>20</v>
      </c>
      <c r="O35" s="102" t="s">
        <v>407</v>
      </c>
      <c r="P35" s="1"/>
      <c r="Q35" s="96">
        <f t="shared" si="7"/>
        <v>29.579831932773111</v>
      </c>
      <c r="R35" s="96">
        <f t="shared" si="8"/>
        <v>46.013071895424844</v>
      </c>
      <c r="S35" s="96">
        <f t="shared" si="9"/>
        <v>69.019607843137251</v>
      </c>
      <c r="V35" s="1">
        <v>18000</v>
      </c>
      <c r="W35">
        <v>2600</v>
      </c>
      <c r="X35">
        <v>1600</v>
      </c>
      <c r="Y35">
        <f>X35/0.8</f>
        <v>2000</v>
      </c>
      <c r="Z35" t="s">
        <v>384</v>
      </c>
    </row>
    <row r="36" spans="1:26">
      <c r="A36" s="100"/>
      <c r="B36" s="100">
        <v>32</v>
      </c>
      <c r="C36" s="100"/>
      <c r="D36" s="100"/>
      <c r="E36" s="100"/>
      <c r="F36" s="100"/>
      <c r="G36" s="100"/>
      <c r="H36" s="100"/>
      <c r="I36" s="100">
        <v>900</v>
      </c>
      <c r="J36" s="101">
        <f t="shared" si="6"/>
        <v>900</v>
      </c>
      <c r="K36" s="101">
        <f t="shared" si="10"/>
        <v>1125</v>
      </c>
      <c r="L36" s="101">
        <f t="shared" si="0"/>
        <v>5.1136363636363633</v>
      </c>
      <c r="M36" s="100">
        <v>2.5</v>
      </c>
      <c r="N36" s="100">
        <v>16</v>
      </c>
      <c r="O36" s="102" t="s">
        <v>409</v>
      </c>
      <c r="P36" s="1"/>
      <c r="Q36" s="96">
        <f t="shared" si="7"/>
        <v>55.873015873015873</v>
      </c>
      <c r="R36" s="96">
        <f t="shared" si="8"/>
        <v>86.913580246913597</v>
      </c>
      <c r="S36" s="96">
        <f t="shared" si="9"/>
        <v>130.37037037037038</v>
      </c>
      <c r="V36" s="1">
        <v>9000</v>
      </c>
    </row>
    <row r="37" spans="1:26">
      <c r="A37" s="100"/>
      <c r="B37" s="100">
        <v>33</v>
      </c>
      <c r="C37" s="100"/>
      <c r="D37" s="100"/>
      <c r="E37" s="100"/>
      <c r="F37" s="100"/>
      <c r="G37" s="100"/>
      <c r="H37" s="100"/>
      <c r="I37" s="100">
        <v>900</v>
      </c>
      <c r="J37" s="101">
        <f t="shared" si="6"/>
        <v>900</v>
      </c>
      <c r="K37" s="101">
        <f t="shared" si="10"/>
        <v>1125</v>
      </c>
      <c r="L37" s="101">
        <f t="shared" si="0"/>
        <v>5.1136363636363633</v>
      </c>
      <c r="M37" s="100">
        <v>2.5</v>
      </c>
      <c r="N37" s="100">
        <v>16</v>
      </c>
      <c r="O37" s="102" t="s">
        <v>408</v>
      </c>
      <c r="P37" s="1"/>
      <c r="Q37" s="96">
        <f t="shared" si="7"/>
        <v>55.873015873015873</v>
      </c>
      <c r="R37" s="96">
        <f t="shared" si="8"/>
        <v>86.913580246913597</v>
      </c>
      <c r="S37" s="96">
        <f t="shared" si="9"/>
        <v>130.37037037037038</v>
      </c>
      <c r="V37" s="1">
        <v>9000</v>
      </c>
    </row>
    <row r="38" spans="1:26">
      <c r="A38" s="107"/>
      <c r="B38" s="107">
        <v>34</v>
      </c>
      <c r="C38" s="107"/>
      <c r="D38" s="107"/>
      <c r="E38" s="107"/>
      <c r="F38" s="107"/>
      <c r="G38" s="107"/>
      <c r="H38" s="107"/>
      <c r="I38" s="107"/>
      <c r="J38" s="108"/>
      <c r="K38" s="108"/>
      <c r="L38" s="108"/>
      <c r="M38" s="107"/>
      <c r="N38" s="107"/>
      <c r="O38" s="109" t="s">
        <v>379</v>
      </c>
      <c r="P38" s="1"/>
      <c r="Q38" s="96"/>
      <c r="R38" s="96"/>
      <c r="S38" s="96"/>
      <c r="V38" s="1">
        <v>9000</v>
      </c>
    </row>
    <row r="39" spans="1:26">
      <c r="A39" s="100"/>
      <c r="B39" s="100">
        <v>35</v>
      </c>
      <c r="C39" s="100"/>
      <c r="D39" s="100"/>
      <c r="E39" s="100"/>
      <c r="F39" s="100"/>
      <c r="G39" s="100"/>
      <c r="H39" s="100"/>
      <c r="I39" s="100">
        <v>1100</v>
      </c>
      <c r="J39" s="101">
        <f t="shared" si="6"/>
        <v>1100</v>
      </c>
      <c r="K39" s="101">
        <f t="shared" si="10"/>
        <v>1375</v>
      </c>
      <c r="L39" s="101">
        <f t="shared" si="0"/>
        <v>6.25</v>
      </c>
      <c r="M39" s="100">
        <v>2.5</v>
      </c>
      <c r="N39" s="100">
        <v>16</v>
      </c>
      <c r="O39" s="102" t="s">
        <v>405</v>
      </c>
      <c r="P39" s="1"/>
      <c r="Q39" s="96">
        <f t="shared" ref="Q39:Q49" si="11">(4/($Q$5*L39))*1000</f>
        <v>45.714285714285715</v>
      </c>
      <c r="R39" s="96">
        <f t="shared" ref="R39:R49" si="12">(4/($R$5*L39))*1000</f>
        <v>71.111111111111114</v>
      </c>
      <c r="S39" s="96">
        <f t="shared" ref="S39:S49" si="13">(4/($S$5*L39))*1000</f>
        <v>106.66666666666667</v>
      </c>
      <c r="V39" s="1">
        <v>12000</v>
      </c>
    </row>
    <row r="40" spans="1:26">
      <c r="A40" s="100"/>
      <c r="B40" s="100">
        <v>36</v>
      </c>
      <c r="C40" s="100"/>
      <c r="D40" s="100"/>
      <c r="E40" s="100"/>
      <c r="F40" s="100"/>
      <c r="G40" s="100"/>
      <c r="H40" s="100"/>
      <c r="I40" s="100">
        <v>1700</v>
      </c>
      <c r="J40" s="101">
        <f t="shared" si="6"/>
        <v>1700</v>
      </c>
      <c r="K40" s="101">
        <f t="shared" si="10"/>
        <v>2125</v>
      </c>
      <c r="L40" s="101">
        <f t="shared" si="0"/>
        <v>9.6590909090909083</v>
      </c>
      <c r="M40" s="100">
        <v>4</v>
      </c>
      <c r="N40" s="100">
        <v>20</v>
      </c>
      <c r="O40" s="102" t="s">
        <v>404</v>
      </c>
      <c r="P40" s="1"/>
      <c r="Q40" s="96">
        <f t="shared" si="11"/>
        <v>29.579831932773111</v>
      </c>
      <c r="R40" s="96">
        <f t="shared" si="12"/>
        <v>46.013071895424844</v>
      </c>
      <c r="S40" s="96">
        <f t="shared" si="13"/>
        <v>69.019607843137251</v>
      </c>
      <c r="V40" s="1">
        <v>18000</v>
      </c>
    </row>
    <row r="41" spans="1:26">
      <c r="A41" s="100"/>
      <c r="B41" s="100">
        <v>37</v>
      </c>
      <c r="C41" s="100"/>
      <c r="D41" s="100"/>
      <c r="E41" s="100"/>
      <c r="F41" s="100"/>
      <c r="G41" s="100"/>
      <c r="H41" s="100"/>
      <c r="I41" s="100">
        <v>1100</v>
      </c>
      <c r="J41" s="101">
        <f t="shared" si="6"/>
        <v>1100</v>
      </c>
      <c r="K41" s="101">
        <f t="shared" si="10"/>
        <v>1375</v>
      </c>
      <c r="L41" s="101">
        <f t="shared" si="0"/>
        <v>6.25</v>
      </c>
      <c r="M41" s="100">
        <v>2.5</v>
      </c>
      <c r="N41" s="100">
        <v>16</v>
      </c>
      <c r="O41" s="102" t="s">
        <v>403</v>
      </c>
      <c r="P41" s="1"/>
      <c r="Q41" s="96">
        <f t="shared" si="11"/>
        <v>45.714285714285715</v>
      </c>
      <c r="R41" s="96">
        <f t="shared" si="12"/>
        <v>71.111111111111114</v>
      </c>
      <c r="S41" s="96">
        <f t="shared" si="13"/>
        <v>106.66666666666667</v>
      </c>
      <c r="V41" s="1">
        <v>9000</v>
      </c>
    </row>
    <row r="42" spans="1:26">
      <c r="A42" s="100"/>
      <c r="B42" s="100">
        <v>38</v>
      </c>
      <c r="C42" s="100"/>
      <c r="D42" s="100"/>
      <c r="E42" s="100"/>
      <c r="F42" s="100"/>
      <c r="G42" s="100"/>
      <c r="H42" s="100"/>
      <c r="I42" s="100">
        <v>1100</v>
      </c>
      <c r="J42" s="101">
        <f t="shared" si="6"/>
        <v>1100</v>
      </c>
      <c r="K42" s="101">
        <f t="shared" si="10"/>
        <v>1375</v>
      </c>
      <c r="L42" s="101">
        <f t="shared" si="0"/>
        <v>6.25</v>
      </c>
      <c r="M42" s="100">
        <v>2.5</v>
      </c>
      <c r="N42" s="100">
        <v>16</v>
      </c>
      <c r="O42" s="102" t="s">
        <v>402</v>
      </c>
      <c r="P42" s="1"/>
      <c r="Q42" s="96">
        <f t="shared" si="11"/>
        <v>45.714285714285715</v>
      </c>
      <c r="R42" s="96">
        <f t="shared" si="12"/>
        <v>71.111111111111114</v>
      </c>
      <c r="S42" s="96">
        <f t="shared" si="13"/>
        <v>106.66666666666667</v>
      </c>
      <c r="V42" s="1">
        <v>9000</v>
      </c>
    </row>
    <row r="43" spans="1:26">
      <c r="A43" s="100"/>
      <c r="B43" s="100">
        <v>39</v>
      </c>
      <c r="C43" s="100"/>
      <c r="D43" s="100"/>
      <c r="E43" s="100"/>
      <c r="F43" s="100"/>
      <c r="G43" s="100"/>
      <c r="H43" s="100"/>
      <c r="I43" s="100">
        <v>900</v>
      </c>
      <c r="J43" s="101">
        <f t="shared" si="6"/>
        <v>900</v>
      </c>
      <c r="K43" s="101">
        <f t="shared" si="10"/>
        <v>1125</v>
      </c>
      <c r="L43" s="101">
        <f t="shared" si="0"/>
        <v>5.1136363636363633</v>
      </c>
      <c r="M43" s="100">
        <v>2.5</v>
      </c>
      <c r="N43" s="100">
        <v>16</v>
      </c>
      <c r="O43" s="102" t="s">
        <v>401</v>
      </c>
      <c r="P43" s="1"/>
      <c r="Q43" s="96">
        <f t="shared" si="11"/>
        <v>55.873015873015873</v>
      </c>
      <c r="R43" s="96">
        <f t="shared" si="12"/>
        <v>86.913580246913597</v>
      </c>
      <c r="S43" s="96">
        <f t="shared" si="13"/>
        <v>130.37037037037038</v>
      </c>
      <c r="V43" s="1">
        <v>9000</v>
      </c>
    </row>
    <row r="44" spans="1:26">
      <c r="A44" s="100"/>
      <c r="B44" s="100">
        <v>40</v>
      </c>
      <c r="C44" s="100"/>
      <c r="D44" s="100"/>
      <c r="E44" s="100"/>
      <c r="F44" s="100"/>
      <c r="G44" s="100"/>
      <c r="H44" s="100"/>
      <c r="I44" s="100">
        <v>1100</v>
      </c>
      <c r="J44" s="101">
        <f t="shared" si="6"/>
        <v>1100</v>
      </c>
      <c r="K44" s="101">
        <f t="shared" si="10"/>
        <v>1375</v>
      </c>
      <c r="L44" s="101">
        <f t="shared" si="0"/>
        <v>6.25</v>
      </c>
      <c r="M44" s="100">
        <v>2.5</v>
      </c>
      <c r="N44" s="100">
        <v>16</v>
      </c>
      <c r="O44" s="102" t="s">
        <v>400</v>
      </c>
      <c r="P44" s="1"/>
      <c r="Q44" s="96">
        <f t="shared" si="11"/>
        <v>45.714285714285715</v>
      </c>
      <c r="R44" s="96">
        <f t="shared" si="12"/>
        <v>71.111111111111114</v>
      </c>
      <c r="S44" s="96">
        <f t="shared" si="13"/>
        <v>106.66666666666667</v>
      </c>
      <c r="V44" s="1">
        <v>9000</v>
      </c>
    </row>
    <row r="45" spans="1:26">
      <c r="A45" s="100"/>
      <c r="B45" s="110">
        <v>41</v>
      </c>
      <c r="C45" s="110"/>
      <c r="D45" s="110"/>
      <c r="E45" s="110"/>
      <c r="F45" s="110"/>
      <c r="G45" s="110"/>
      <c r="H45" s="110"/>
      <c r="I45" s="110">
        <v>1700</v>
      </c>
      <c r="J45" s="111">
        <f>I45</f>
        <v>1700</v>
      </c>
      <c r="K45" s="101">
        <f t="shared" si="10"/>
        <v>2125</v>
      </c>
      <c r="L45" s="101">
        <f t="shared" si="0"/>
        <v>9.6590909090909083</v>
      </c>
      <c r="M45" s="100">
        <v>4</v>
      </c>
      <c r="N45" s="100">
        <v>20</v>
      </c>
      <c r="O45" s="112" t="s">
        <v>398</v>
      </c>
      <c r="P45" s="1"/>
      <c r="Q45" s="96">
        <f t="shared" si="11"/>
        <v>29.579831932773111</v>
      </c>
      <c r="R45" s="96">
        <f t="shared" si="12"/>
        <v>46.013071895424844</v>
      </c>
      <c r="S45" s="96">
        <f t="shared" si="13"/>
        <v>69.019607843137251</v>
      </c>
      <c r="V45" s="1"/>
    </row>
    <row r="46" spans="1:26">
      <c r="A46" s="100"/>
      <c r="B46" s="110">
        <v>42</v>
      </c>
      <c r="C46" s="110"/>
      <c r="D46" s="110"/>
      <c r="E46" s="110"/>
      <c r="F46" s="110"/>
      <c r="G46" s="110"/>
      <c r="H46" s="110"/>
      <c r="I46" s="110">
        <v>1700</v>
      </c>
      <c r="J46" s="111">
        <f>I46</f>
        <v>1700</v>
      </c>
      <c r="K46" s="101">
        <f t="shared" si="10"/>
        <v>2125</v>
      </c>
      <c r="L46" s="101">
        <f t="shared" si="0"/>
        <v>9.6590909090909083</v>
      </c>
      <c r="M46" s="100">
        <v>4</v>
      </c>
      <c r="N46" s="100">
        <v>20</v>
      </c>
      <c r="O46" s="112" t="s">
        <v>399</v>
      </c>
      <c r="P46" s="1"/>
      <c r="Q46" s="96">
        <f t="shared" si="11"/>
        <v>29.579831932773111</v>
      </c>
      <c r="R46" s="96">
        <f t="shared" si="12"/>
        <v>46.013071895424844</v>
      </c>
      <c r="S46" s="96">
        <f t="shared" si="13"/>
        <v>69.019607843137251</v>
      </c>
      <c r="V46" s="96"/>
    </row>
    <row r="47" spans="1:26">
      <c r="A47" s="110"/>
      <c r="B47" s="110">
        <v>43</v>
      </c>
      <c r="C47" s="110"/>
      <c r="D47" s="110"/>
      <c r="E47" s="110"/>
      <c r="F47" s="110"/>
      <c r="G47" s="110"/>
      <c r="H47" s="110"/>
      <c r="I47" s="110">
        <v>800</v>
      </c>
      <c r="J47" s="111">
        <f>I47</f>
        <v>800</v>
      </c>
      <c r="K47" s="111">
        <f t="shared" si="10"/>
        <v>1000</v>
      </c>
      <c r="L47" s="111">
        <f t="shared" si="0"/>
        <v>4.5454545454545459</v>
      </c>
      <c r="M47" s="110">
        <v>2.5</v>
      </c>
      <c r="N47" s="110">
        <v>16</v>
      </c>
      <c r="O47" s="112" t="s">
        <v>380</v>
      </c>
      <c r="P47" s="1"/>
      <c r="Q47" s="96">
        <f t="shared" si="11"/>
        <v>62.857142857142847</v>
      </c>
      <c r="R47" s="96">
        <f t="shared" si="12"/>
        <v>97.777777777777771</v>
      </c>
      <c r="S47" s="96">
        <f t="shared" si="13"/>
        <v>146.66666666666666</v>
      </c>
      <c r="V47" s="1"/>
    </row>
    <row r="48" spans="1:26">
      <c r="A48" s="100"/>
      <c r="B48" s="100">
        <v>44</v>
      </c>
      <c r="C48" s="100"/>
      <c r="D48" s="100"/>
      <c r="E48" s="100"/>
      <c r="F48" s="100"/>
      <c r="G48" s="100"/>
      <c r="H48" s="100"/>
      <c r="I48" s="100">
        <v>800</v>
      </c>
      <c r="J48" s="101">
        <f t="shared" si="6"/>
        <v>800</v>
      </c>
      <c r="K48" s="101">
        <f>J48/0.9</f>
        <v>888.88888888888891</v>
      </c>
      <c r="L48" s="101">
        <f t="shared" si="0"/>
        <v>4.0404040404040407</v>
      </c>
      <c r="M48" s="100">
        <v>2.5</v>
      </c>
      <c r="N48" s="100">
        <v>16</v>
      </c>
      <c r="O48" s="102" t="s">
        <v>381</v>
      </c>
      <c r="P48" s="1"/>
      <c r="Q48" s="96">
        <f t="shared" si="11"/>
        <v>70.714285714285722</v>
      </c>
      <c r="R48" s="96">
        <f t="shared" si="12"/>
        <v>109.99999999999999</v>
      </c>
      <c r="S48" s="96">
        <f t="shared" si="13"/>
        <v>165</v>
      </c>
      <c r="V48" s="1"/>
    </row>
    <row r="49" spans="1:19">
      <c r="A49" s="100"/>
      <c r="B49" s="100">
        <v>45</v>
      </c>
      <c r="C49" s="100"/>
      <c r="D49" s="100"/>
      <c r="E49" s="100"/>
      <c r="F49" s="100"/>
      <c r="G49" s="100"/>
      <c r="H49" s="100"/>
      <c r="I49" s="100">
        <v>1200</v>
      </c>
      <c r="J49" s="101">
        <f t="shared" si="6"/>
        <v>1200</v>
      </c>
      <c r="K49" s="101">
        <f>J49/0.9</f>
        <v>1333.3333333333333</v>
      </c>
      <c r="L49" s="101">
        <f t="shared" si="0"/>
        <v>6.0606060606060606</v>
      </c>
      <c r="M49" s="100">
        <v>2.5</v>
      </c>
      <c r="N49" s="100">
        <v>16</v>
      </c>
      <c r="O49" s="102" t="s">
        <v>383</v>
      </c>
      <c r="P49" s="1"/>
      <c r="Q49" s="96">
        <f t="shared" si="11"/>
        <v>47.142857142857146</v>
      </c>
      <c r="R49" s="96">
        <f t="shared" si="12"/>
        <v>73.333333333333329</v>
      </c>
      <c r="S49" s="96">
        <f t="shared" si="13"/>
        <v>110.00000000000001</v>
      </c>
    </row>
    <row r="50" spans="1:19">
      <c r="A50" s="103"/>
      <c r="B50" s="113" t="s">
        <v>387</v>
      </c>
      <c r="C50" s="103"/>
      <c r="D50" s="103"/>
      <c r="E50" s="103"/>
      <c r="F50" s="103"/>
      <c r="G50" s="103"/>
      <c r="H50" s="103"/>
      <c r="I50" s="103"/>
      <c r="J50" s="104">
        <f>SUM(J5:J49)</f>
        <v>73240</v>
      </c>
      <c r="K50" s="104"/>
      <c r="L50" s="104"/>
      <c r="M50" s="103"/>
      <c r="N50" s="103"/>
      <c r="O50" s="105"/>
      <c r="P50" s="96"/>
      <c r="Q50" s="96"/>
    </row>
    <row r="51" spans="1:19">
      <c r="A51" s="1"/>
      <c r="B51" s="20"/>
      <c r="C51" s="1"/>
      <c r="D51" s="99"/>
      <c r="E51" s="1"/>
      <c r="F51" s="1"/>
      <c r="G51">
        <v>10</v>
      </c>
      <c r="H51">
        <v>20</v>
      </c>
      <c r="I51" s="96" t="s">
        <v>522</v>
      </c>
      <c r="J51" s="98"/>
      <c r="K51" s="98"/>
      <c r="L51" s="98"/>
      <c r="M51" s="1"/>
      <c r="N51" s="96"/>
      <c r="O51" s="97"/>
      <c r="P51" s="1"/>
      <c r="Q51" s="1"/>
    </row>
    <row r="52" spans="1:19">
      <c r="A52" s="1"/>
      <c r="B52" s="20"/>
      <c r="C52" s="1"/>
      <c r="D52" s="1"/>
      <c r="E52" s="1"/>
      <c r="F52" s="1"/>
      <c r="G52" s="1">
        <f>SUM(G8:G17)</f>
        <v>172</v>
      </c>
      <c r="H52" s="1">
        <f>(SUM(H10:H17))+15+9</f>
        <v>34</v>
      </c>
      <c r="I52" s="1">
        <v>6</v>
      </c>
      <c r="J52" s="98"/>
      <c r="K52" s="98"/>
      <c r="L52" s="98"/>
      <c r="M52" s="1"/>
      <c r="N52" s="96"/>
      <c r="O52" s="97"/>
      <c r="P52" s="1"/>
      <c r="Q52" s="1"/>
    </row>
    <row r="53" spans="1:19">
      <c r="A53" s="1"/>
      <c r="C53" s="1"/>
      <c r="D53" s="1"/>
      <c r="E53" s="1"/>
      <c r="F53" s="1"/>
      <c r="G53" s="1"/>
      <c r="H53" s="1"/>
      <c r="I53" s="1"/>
      <c r="J53" s="98"/>
      <c r="K53" s="98"/>
      <c r="L53" s="98"/>
      <c r="M53" s="1"/>
      <c r="N53" s="96"/>
      <c r="O53" s="97"/>
      <c r="P53" s="1"/>
      <c r="Q53" s="1"/>
    </row>
    <row r="54" spans="1:19">
      <c r="A54" s="1"/>
      <c r="B54" s="1"/>
      <c r="C54" s="1"/>
      <c r="D54" s="1"/>
      <c r="E54" s="1"/>
      <c r="F54" s="1"/>
      <c r="G54" s="1"/>
      <c r="H54" s="1"/>
      <c r="I54" s="1"/>
      <c r="J54" s="1"/>
      <c r="K54" s="96"/>
      <c r="L54" s="96"/>
      <c r="M54" s="1"/>
      <c r="N54" s="1"/>
      <c r="O54" s="97"/>
      <c r="P54" s="1"/>
      <c r="Q54" s="1"/>
    </row>
    <row r="55" spans="1:19">
      <c r="A55" s="1"/>
      <c r="B55" s="1"/>
      <c r="C55" s="1"/>
      <c r="D55" s="1"/>
      <c r="E55" s="1"/>
      <c r="F55" s="1"/>
      <c r="G55" s="1"/>
      <c r="H55" s="1"/>
      <c r="I55" s="1"/>
      <c r="J55" s="1"/>
      <c r="K55" s="96"/>
      <c r="L55" s="96"/>
      <c r="M55" s="1"/>
      <c r="N55" s="1"/>
      <c r="O55" s="97"/>
      <c r="P55" s="1"/>
      <c r="Q55" s="1"/>
    </row>
    <row r="56" spans="1:19">
      <c r="O56" s="97"/>
    </row>
    <row r="57" spans="1:19">
      <c r="O57" s="97"/>
    </row>
    <row r="58" spans="1:19">
      <c r="O58" s="97"/>
    </row>
    <row r="59" spans="1:19">
      <c r="O59" s="97"/>
    </row>
    <row r="60" spans="1:19">
      <c r="O60" s="97"/>
    </row>
    <row r="61" spans="1:19">
      <c r="O61" s="97"/>
    </row>
    <row r="62" spans="1:19">
      <c r="O62" s="97"/>
    </row>
    <row r="63" spans="1:19">
      <c r="O63" s="97"/>
    </row>
    <row r="64" spans="1:19">
      <c r="O64" s="97"/>
    </row>
  </sheetData>
  <mergeCells count="17">
    <mergeCell ref="A2:A4"/>
    <mergeCell ref="B2:B4"/>
    <mergeCell ref="C2:C4"/>
    <mergeCell ref="D2:F2"/>
    <mergeCell ref="G2:I2"/>
    <mergeCell ref="I3:I4"/>
    <mergeCell ref="D3:D4"/>
    <mergeCell ref="E3:E4"/>
    <mergeCell ref="F3:F4"/>
    <mergeCell ref="G3:H3"/>
    <mergeCell ref="J2:J4"/>
    <mergeCell ref="K2:K4"/>
    <mergeCell ref="L2:L4"/>
    <mergeCell ref="B1:O1"/>
    <mergeCell ref="M2:M4"/>
    <mergeCell ref="N2:N4"/>
    <mergeCell ref="O2:O4"/>
  </mergeCells>
  <printOptions horizontalCentered="1"/>
  <pageMargins left="0" right="0" top="0.78740157480314965" bottom="0.78740157480314965" header="0.31496062992125984" footer="0.31496062992125984"/>
  <pageSetup scale="48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13</vt:i4>
      </vt:variant>
    </vt:vector>
  </HeadingPairs>
  <TitlesOfParts>
    <vt:vector size="23" baseType="lpstr">
      <vt:lpstr>PO - CONTRATO</vt:lpstr>
      <vt:lpstr>TA01 - PO compilada</vt:lpstr>
      <vt:lpstr>TA01- acréscimos</vt:lpstr>
      <vt:lpstr>TA01 - supressões</vt:lpstr>
      <vt:lpstr>TA01 - CRONOGRAMA</vt:lpstr>
      <vt:lpstr>MC - TA01</vt:lpstr>
      <vt:lpstr>Medição 01</vt:lpstr>
      <vt:lpstr>Medição 02</vt:lpstr>
      <vt:lpstr>ELE - QC</vt:lpstr>
      <vt:lpstr>RGE</vt:lpstr>
      <vt:lpstr>'Medição 01'!Area_de_impressao</vt:lpstr>
      <vt:lpstr>'Medição 02'!Area_de_impressao</vt:lpstr>
      <vt:lpstr>'PO - CONTRATO'!Area_de_impressao</vt:lpstr>
      <vt:lpstr>'TA01 - CRONOGRAMA'!Area_de_impressao</vt:lpstr>
      <vt:lpstr>'TA01 - PO compilada'!Area_de_impressao</vt:lpstr>
      <vt:lpstr>'TA01 - supressões'!Area_de_impressao</vt:lpstr>
      <vt:lpstr>'TA01- acréscimos'!Area_de_impressao</vt:lpstr>
      <vt:lpstr>'Medição 01'!Titulos_de_impressao</vt:lpstr>
      <vt:lpstr>'Medição 02'!Titulos_de_impressao</vt:lpstr>
      <vt:lpstr>'PO - CONTRATO'!Titulos_de_impressao</vt:lpstr>
      <vt:lpstr>'TA01 - PO compilada'!Titulos_de_impressao</vt:lpstr>
      <vt:lpstr>'TA01 - supressões'!Titulos_de_impressao</vt:lpstr>
      <vt:lpstr>'TA01- acréscimos'!Titulos_de_impressao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SZELEST</dc:creator>
  <cp:lastModifiedBy>luciano.funari</cp:lastModifiedBy>
  <cp:lastPrinted>2019-10-01T13:24:49Z</cp:lastPrinted>
  <dcterms:created xsi:type="dcterms:W3CDTF">2018-02-06T12:55:07Z</dcterms:created>
  <dcterms:modified xsi:type="dcterms:W3CDTF">2019-10-10T13:12:28Z</dcterms:modified>
</cp:coreProperties>
</file>